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C:\Users\aline.correa\Desktop\RECAPE NOVO\"/>
    </mc:Choice>
  </mc:AlternateContent>
  <xr:revisionPtr revIDLastSave="0" documentId="13_ncr:1_{C173B376-3D52-4F6F-BDD5-A4B394BAE603}" xr6:coauthVersionLast="47" xr6:coauthVersionMax="47" xr10:uidLastSave="{00000000-0000-0000-0000-000000000000}"/>
  <bookViews>
    <workbookView xWindow="-120" yWindow="-120" windowWidth="29040" windowHeight="15840" tabRatio="824" xr2:uid="{58F8E7E3-5DFC-4D54-961A-DED00F3284E4}"/>
  </bookViews>
  <sheets>
    <sheet name="RESUMO" sheetId="14" r:id="rId1"/>
    <sheet name="ORÇAMENTO" sheetId="1" r:id="rId2"/>
    <sheet name="BDI_OK" sheetId="10" r:id="rId3"/>
    <sheet name="BDI DIFERENCIADO_OK" sheetId="11" r:id="rId4"/>
    <sheet name="CFF" sheetId="15" r:id="rId5"/>
    <sheet name="Composição Direta" sheetId="5" r:id="rId6"/>
    <sheet name="BLD" sheetId="6" r:id="rId7"/>
    <sheet name="TRANSP" sheetId="7" r:id="rId8"/>
    <sheet name="MEMORIA CALCULO SERV COMPL" sheetId="3"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s>
  <definedNames>
    <definedName name="\0" localSheetId="3">[1]DR84PCRF!#REF!</definedName>
    <definedName name="\0" localSheetId="2">[1]DR84PCRF!#REF!</definedName>
    <definedName name="\0" localSheetId="9">[1]DR84PCRF!#REF!</definedName>
    <definedName name="\0">[1]DR84PCRF!#REF!</definedName>
    <definedName name="\A" localSheetId="3">#REF!</definedName>
    <definedName name="\A" localSheetId="2">#REF!</definedName>
    <definedName name="\A" localSheetId="9">#REF!</definedName>
    <definedName name="\A">#REF!</definedName>
    <definedName name="\I" localSheetId="9">#REF!</definedName>
    <definedName name="\I">#REF!</definedName>
    <definedName name="\P" localSheetId="9">#REF!</definedName>
    <definedName name="\P">#REF!</definedName>
    <definedName name="\S" localSheetId="3">[2]COMPOS1!#REF!</definedName>
    <definedName name="\S" localSheetId="2">[2]COMPOS1!#REF!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3">#REF!</definedName>
    <definedName name="____KM406407" localSheetId="2">#REF!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3">[7]DIPRVS12!#REF!</definedName>
    <definedName name="___est1" localSheetId="2">[7]DIPRVS12!#REF!</definedName>
    <definedName name="___est1" localSheetId="9">[7]DIPRVS12!#REF!</definedName>
    <definedName name="___est1">[7]DIPRVS12!#REF!</definedName>
    <definedName name="___TB10" localSheetId="3">#REF!</definedName>
    <definedName name="___TB10" localSheetId="2">#REF!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3">#REF!</definedName>
    <definedName name="__dre2" localSheetId="2">#REF!</definedName>
    <definedName name="__dre2">#REF!</definedName>
    <definedName name="__EXT1" localSheetId="3">#REF!</definedName>
    <definedName name="__EXT1" localSheetId="2">#REF!</definedName>
    <definedName name="__EXT1">#REF!</definedName>
    <definedName name="__mem2">'[8]Mat Asf'!$H$37</definedName>
    <definedName name="__oac2" localSheetId="3">#REF!</definedName>
    <definedName name="__oac2" localSheetId="2">#REF!</definedName>
    <definedName name="__oac2">#REF!</definedName>
    <definedName name="__oae2" localSheetId="3">#REF!</definedName>
    <definedName name="__oae2" localSheetId="2">#REF!</definedName>
    <definedName name="__oae2">#REF!</definedName>
    <definedName name="__oco2" localSheetId="3">#REF!</definedName>
    <definedName name="__oco2" localSheetId="2">#REF!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3" hidden="1">{#N/A,#N/A,FALSE,"MO (2)"}</definedName>
    <definedName name="_b1" localSheetId="2"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3">#REF!</definedName>
    <definedName name="_COL36" localSheetId="2">#REF!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3">[9]DIPRVS12!#REF!</definedName>
    <definedName name="_est1" localSheetId="2">[9]DIPRVS12!#REF!</definedName>
    <definedName name="_est1" localSheetId="9">[9]DIPRVS12!#REF!</definedName>
    <definedName name="_est1">[9]DIPRVS12!#REF!</definedName>
    <definedName name="_EXT1" localSheetId="3">#REF!</definedName>
    <definedName name="_EXT1" localSheetId="2">#REF!</definedName>
    <definedName name="_EXT1">#REF!</definedName>
    <definedName name="_I" localSheetId="3">#REF!</definedName>
    <definedName name="_I" localSheetId="2">#REF!</definedName>
    <definedName name="_I" localSheetId="9">#REF!</definedName>
    <definedName name="_I">#REF!</definedName>
    <definedName name="_KM406407" localSheetId="9">#REF!</definedName>
    <definedName name="_KM406407">#REF!</definedName>
    <definedName name="_mem2">'[8]Mat Asf'!$H$37</definedName>
    <definedName name="_oac2" localSheetId="3">#REF!</definedName>
    <definedName name="_oac2" localSheetId="2">#REF!</definedName>
    <definedName name="_oac2">#REF!</definedName>
    <definedName name="_oae2" localSheetId="3">#REF!</definedName>
    <definedName name="_oae2" localSheetId="2">#REF!</definedName>
    <definedName name="_oae2">#REF!</definedName>
    <definedName name="_oco2" localSheetId="3">#REF!</definedName>
    <definedName name="_oco2" localSheetId="2">#REF!</definedName>
    <definedName name="_oco2">#REF!</definedName>
    <definedName name="_Order1" hidden="1">255</definedName>
    <definedName name="_pav2" localSheetId="3">#REF!</definedName>
    <definedName name="_pav2" localSheetId="2">#REF!</definedName>
    <definedName name="_pav2">#REF!</definedName>
    <definedName name="_ROD1" localSheetId="3">[10]DG!$B$10</definedName>
    <definedName name="_ROD1" localSheetId="2">[10]DG!$B$10</definedName>
    <definedName name="_ROD1">[11]DG!$B$10</definedName>
    <definedName name="_S" localSheetId="3">[12]COMPOS1!#REF!</definedName>
    <definedName name="_S" localSheetId="2">[12]COMPOS1!#REF!</definedName>
    <definedName name="_S" localSheetId="9">[12]COMPOS1!#REF!</definedName>
    <definedName name="_S">[12]COMPOS1!#REF!</definedName>
    <definedName name="_TB10" localSheetId="3">#REF!</definedName>
    <definedName name="_TB10" localSheetId="2">#REF!</definedName>
    <definedName name="_TB10" localSheetId="9">#REF!</definedName>
    <definedName name="_TB10">#REF!</definedName>
    <definedName name="_ter2" localSheetId="3">#REF!</definedName>
    <definedName name="_ter2" localSheetId="2">#REF!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3" hidden="1">{#N/A,#N/A,FALSE,"MO (2)"}</definedName>
    <definedName name="aaaaa" localSheetId="2" hidden="1">{#N/A,#N/A,FALSE,"MO (2)"}</definedName>
    <definedName name="aaaaa" hidden="1">{#N/A,#N/A,FALSE,"MO (2)"}</definedName>
    <definedName name="ACAP20RP" localSheetId="3">#REF!</definedName>
    <definedName name="ACAP20RP" localSheetId="2">#REF!</definedName>
    <definedName name="ACAP20RP" localSheetId="9">#REF!</definedName>
    <definedName name="ACAP20RP">#REF!</definedName>
    <definedName name="ACAP20RPMA" localSheetId="3">[13]ROSTO!#REF!</definedName>
    <definedName name="ACAP20RPMA" localSheetId="2">[13]ROSTO!#REF!</definedName>
    <definedName name="ACAP20RPMA" localSheetId="9">[13]ROSTO!#REF!</definedName>
    <definedName name="ACAP20RPMA">[13]ROSTO!#REF!</definedName>
    <definedName name="ACAP20RPTA" localSheetId="3">#REF!</definedName>
    <definedName name="ACAP20RPTA" localSheetId="2">#REF!</definedName>
    <definedName name="ACAP20RPTA" localSheetId="9">#REF!</definedName>
    <definedName name="ACAP20RPTA">#REF!</definedName>
    <definedName name="ACAPPA" localSheetId="9">#REF!</definedName>
    <definedName name="ACAPPA">#REF!</definedName>
    <definedName name="ACAPPAMA" localSheetId="3">[13]ROSTO!#REF!</definedName>
    <definedName name="ACAPPAMA" localSheetId="2">[13]ROSTO!#REF!</definedName>
    <definedName name="ACAPPAMA" localSheetId="9">[13]ROSTO!#REF!</definedName>
    <definedName name="ACAPPAMA">[13]ROSTO!#REF!</definedName>
    <definedName name="ACAPPATA" localSheetId="3">#REF!</definedName>
    <definedName name="ACAPPATA" localSheetId="2">#REF!</definedName>
    <definedName name="ACAPPATA" localSheetId="9">#REF!</definedName>
    <definedName name="ACAPPATA">#REF!</definedName>
    <definedName name="ACAPRS" localSheetId="9">#REF!</definedName>
    <definedName name="ACAPRS">#REF!</definedName>
    <definedName name="ACAPRSMA" localSheetId="3">[13]ROSTO!#REF!</definedName>
    <definedName name="ACAPRSMA" localSheetId="2">[13]ROSTO!#REF!</definedName>
    <definedName name="ACAPRSMA" localSheetId="9">[13]ROSTO!#REF!</definedName>
    <definedName name="ACAPRSMA">[13]ROSTO!#REF!</definedName>
    <definedName name="ACAPRSTA" localSheetId="3">#REF!</definedName>
    <definedName name="ACAPRSTA" localSheetId="2">#REF!</definedName>
    <definedName name="ACAPRSTA" localSheetId="9">#REF!</definedName>
    <definedName name="ACAPRSTA">#REF!</definedName>
    <definedName name="ACM30RP" localSheetId="9">#REF!</definedName>
    <definedName name="ACM30RP">#REF!</definedName>
    <definedName name="ACM30RPMA" localSheetId="3">[13]ROSTO!#REF!</definedName>
    <definedName name="ACM30RPMA" localSheetId="2">[13]ROSTO!#REF!</definedName>
    <definedName name="ACM30RPMA" localSheetId="9">[13]ROSTO!#REF!</definedName>
    <definedName name="ACM30RPMA">[13]ROSTO!#REF!</definedName>
    <definedName name="ACM30RPTA" localSheetId="3">#REF!</definedName>
    <definedName name="ACM30RPTA" localSheetId="2">#REF!</definedName>
    <definedName name="ACM30RPTA" localSheetId="9">#REF!</definedName>
    <definedName name="ACM30RPTA">#REF!</definedName>
    <definedName name="ACUMVPI" localSheetId="3">'[13]7CONT FIN'!#REF!</definedName>
    <definedName name="ACUMVPI" localSheetId="2">'[13]7CONT FIN'!#REF!</definedName>
    <definedName name="ACUMVPI" localSheetId="9">'[13]7CONT FIN'!#REF!</definedName>
    <definedName name="ACUMVPI">'[13]7CONT FIN'!#REF!</definedName>
    <definedName name="ad" localSheetId="3" hidden="1">{#N/A,#N/A,FALSE,"MO (2)"}</definedName>
    <definedName name="ad" localSheetId="2" hidden="1">{#N/A,#N/A,FALSE,"MO (2)"}</definedName>
    <definedName name="ad" hidden="1">{#N/A,#N/A,FALSE,"MO (2)"}</definedName>
    <definedName name="ae" localSheetId="3">#REF!</definedName>
    <definedName name="ae" localSheetId="2">#REF!</definedName>
    <definedName name="ae">#REF!</definedName>
    <definedName name="AEP" localSheetId="3">#REF!</definedName>
    <definedName name="AEP" localSheetId="2">#REF!</definedName>
    <definedName name="AEP" localSheetId="9">#REF!</definedName>
    <definedName name="AEP">#REF!</definedName>
    <definedName name="AEPMA" localSheetId="3">[13]ROSTO!#REF!</definedName>
    <definedName name="AEPMA" localSheetId="2">[13]ROSTO!#REF!</definedName>
    <definedName name="AEPMA" localSheetId="9">[13]ROSTO!#REF!</definedName>
    <definedName name="AEPMA">[13]ROSTO!#REF!</definedName>
    <definedName name="AEPTA" localSheetId="3">#REF!</definedName>
    <definedName name="AEPTA" localSheetId="2">#REF!</definedName>
    <definedName name="AEPTA" localSheetId="9">#REF!</definedName>
    <definedName name="AEPTA">#REF!</definedName>
    <definedName name="AJ" localSheetId="3">#REF!</definedName>
    <definedName name="AJ" localSheetId="2">#REF!</definedName>
    <definedName name="AJ">#REF!</definedName>
    <definedName name="AJA">#REF!</definedName>
    <definedName name="alteração" localSheetId="9">#REF!</definedName>
    <definedName name="alteração">#REF!</definedName>
    <definedName name="am" localSheetId="3" hidden="1">{#N/A,#N/A,FALSE,"MO (2)"}</definedName>
    <definedName name="am" localSheetId="2"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3" hidden="1">{#N/A,#N/A,FALSE,"MO (2)"}</definedName>
    <definedName name="AMELI" localSheetId="2" hidden="1">{#N/A,#N/A,FALSE,"MO (2)"}</definedName>
    <definedName name="AMELI" hidden="1">{#N/A,#N/A,FALSE,"MO (2)"}</definedName>
    <definedName name="ana" localSheetId="3">#REF!</definedName>
    <definedName name="ana" localSheetId="2">#REF!</definedName>
    <definedName name="ana" localSheetId="9">#REF!</definedName>
    <definedName name="ana">#REF!</definedName>
    <definedName name="ananas" localSheetId="9">#REF!</definedName>
    <definedName name="ananas">#REF!</definedName>
    <definedName name="anscount" hidden="1">3</definedName>
    <definedName name="ant" localSheetId="3" hidden="1">{#N/A,#N/A,FALSE,"MO (2)"}</definedName>
    <definedName name="ant" localSheetId="2" hidden="1">{#N/A,#N/A,FALSE,"MO (2)"}</definedName>
    <definedName name="ant" hidden="1">{#N/A,#N/A,FALSE,"MO (2)"}</definedName>
    <definedName name="ar" localSheetId="3">#REF!</definedName>
    <definedName name="ar" localSheetId="2">#REF!</definedName>
    <definedName name="ar">#REF!</definedName>
    <definedName name="area_base" localSheetId="3">#REF!</definedName>
    <definedName name="area_base" localSheetId="2">#REF!</definedName>
    <definedName name="area_base">#REF!</definedName>
    <definedName name="_xlnm.Print_Area" localSheetId="3">'BDI DIFERENCIADO_OK'!$A$1:$E$40</definedName>
    <definedName name="_xlnm.Print_Area" localSheetId="2">BDI_OK!$A$1:$I$40</definedName>
    <definedName name="_xlnm.Print_Area" localSheetId="6">BLD!$A$1:$U$43</definedName>
    <definedName name="_xlnm.Print_Area" localSheetId="4">CFF!$A$1:$AO$44</definedName>
    <definedName name="_xlnm.Print_Area" localSheetId="5">'Composição Direta'!$B$2:$H$193</definedName>
    <definedName name="_xlnm.Print_Area" localSheetId="9">COMPOSIÇÕES!$A$1:$L$178</definedName>
    <definedName name="_xlnm.Print_Area" localSheetId="8">'MEMORIA CALCULO SERV COMPL'!$A$1:$N$42</definedName>
    <definedName name="_xlnm.Print_Area" localSheetId="1">ORÇAMENTO!$A$1:$K$111</definedName>
    <definedName name="_xlnm.Print_Area" localSheetId="7">TRANSP!$A$1:$J$109</definedName>
    <definedName name="_xlnm.Print_Area">#REF!</definedName>
    <definedName name="Área_impressão_IM" localSheetId="3">#REF!</definedName>
    <definedName name="Área_impressão_IM" localSheetId="2">#REF!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3">#REF!</definedName>
    <definedName name="ARL1C" localSheetId="2">#REF!</definedName>
    <definedName name="ARL1C" localSheetId="9">#REF!</definedName>
    <definedName name="ARL1C">#REF!</definedName>
    <definedName name="ARL1CMA" localSheetId="3">[13]ROSTO!#REF!</definedName>
    <definedName name="ARL1CMA" localSheetId="2">[13]ROSTO!#REF!</definedName>
    <definedName name="ARL1CMA" localSheetId="9">[13]ROSTO!#REF!</definedName>
    <definedName name="ARL1CMA">[13]ROSTO!#REF!</definedName>
    <definedName name="ARL1CTA" localSheetId="3">#REF!</definedName>
    <definedName name="ARL1CTA" localSheetId="2">#REF!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3">[13]ROSTO!#REF!</definedName>
    <definedName name="ARR1CPAMA" localSheetId="2">[13]ROSTO!#REF!</definedName>
    <definedName name="ARR1CPAMA" localSheetId="9">[13]ROSTO!#REF!</definedName>
    <definedName name="ARR1CPAMA">[13]ROSTO!#REF!</definedName>
    <definedName name="ARR1CPATA" localSheetId="3">#REF!</definedName>
    <definedName name="ARR1CPATA" localSheetId="2">#REF!</definedName>
    <definedName name="ARR1CPATA" localSheetId="9">#REF!</definedName>
    <definedName name="ARR1CPATA">#REF!</definedName>
    <definedName name="ARR1CRS" localSheetId="9">#REF!</definedName>
    <definedName name="ARR1CRS">#REF!</definedName>
    <definedName name="ARR1CRSMA" localSheetId="3">[13]ROSTO!#REF!</definedName>
    <definedName name="ARR1CRSMA" localSheetId="2">[13]ROSTO!#REF!</definedName>
    <definedName name="ARR1CRSMA" localSheetId="9">[13]ROSTO!#REF!</definedName>
    <definedName name="ARR1CRSMA">[13]ROSTO!#REF!</definedName>
    <definedName name="ARR1CRSTA" localSheetId="3">#REF!</definedName>
    <definedName name="ARR1CRSTA" localSheetId="2">#REF!</definedName>
    <definedName name="ARR1CRSTA" localSheetId="9">#REF!</definedName>
    <definedName name="ARR1CRSTA">#REF!</definedName>
    <definedName name="AS" localSheetId="3">[1]DR84PCRF!#REF!</definedName>
    <definedName name="AS" localSheetId="2">[1]DR84PCRF!#REF!</definedName>
    <definedName name="AS" localSheetId="9">[1]DR84PCRF!#REF!</definedName>
    <definedName name="AS">[1]DR84PCRF!#REF!</definedName>
    <definedName name="asasa" localSheetId="3" hidden="1">{#N/A,#N/A,FALSE,"MO (2)"}</definedName>
    <definedName name="asasa" localSheetId="2" hidden="1">{#N/A,#N/A,FALSE,"MO (2)"}</definedName>
    <definedName name="asasa" hidden="1">{#N/A,#N/A,FALSE,"MO (2)"}</definedName>
    <definedName name="asdfasdfasdfa">#REF!</definedName>
    <definedName name="ASP" localSheetId="3">#REF!</definedName>
    <definedName name="ASP" localSheetId="2">#REF!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3" hidden="1">{#N/A,#N/A,FALSE,"MO (2)"}</definedName>
    <definedName name="b" localSheetId="2" hidden="1">{#N/A,#N/A,FALSE,"MO (2)"}</definedName>
    <definedName name="b" localSheetId="9">#REF!</definedName>
    <definedName name="b" hidden="1">{#N/A,#N/A,FALSE,"MO (2)"}</definedName>
    <definedName name="banco" localSheetId="3">#REF!</definedName>
    <definedName name="banco" localSheetId="2">#REF!</definedName>
    <definedName name="banco" localSheetId="9">#REF!</definedName>
    <definedName name="banco">#REF!</definedName>
    <definedName name="_xlnm.Database" localSheetId="9">#REF!</definedName>
    <definedName name="_xlnm.Database">#REF!</definedName>
    <definedName name="bas" localSheetId="3">[2]COMPOS1!#REF!</definedName>
    <definedName name="bas" localSheetId="2">[2]COMPOS1!#REF!</definedName>
    <definedName name="bas" localSheetId="9">[2]COMPOS1!#REF!</definedName>
    <definedName name="bas">[2]COMPOS1!#REF!</definedName>
    <definedName name="BASE" localSheetId="3">#REF!</definedName>
    <definedName name="BASE" localSheetId="2">#REF!</definedName>
    <definedName name="BASE" localSheetId="9">#REF!</definedName>
    <definedName name="BASE">#REF!</definedName>
    <definedName name="BASEMA" localSheetId="3">[13]ROSTO!#REF!</definedName>
    <definedName name="BASEMA" localSheetId="2">[13]ROSTO!#REF!</definedName>
    <definedName name="BASEMA" localSheetId="9">[13]ROSTO!#REF!</definedName>
    <definedName name="BASEMA">[13]ROSTO!#REF!</definedName>
    <definedName name="BASETA" localSheetId="3">#REF!</definedName>
    <definedName name="BASETA" localSheetId="2">#REF!</definedName>
    <definedName name="BASETA" localSheetId="9">#REF!</definedName>
    <definedName name="BASETA">#REF!</definedName>
    <definedName name="bbbbbbb" localSheetId="3" hidden="1">{#N/A,#N/A,FALSE,"MO (2)"}</definedName>
    <definedName name="bbbbbbb" localSheetId="2" hidden="1">{#N/A,#N/A,FALSE,"MO (2)"}</definedName>
    <definedName name="bbbbbbb" hidden="1">{#N/A,#N/A,FALSE,"MO (2)"}</definedName>
    <definedName name="BDI" localSheetId="3">#REF!</definedName>
    <definedName name="BDI" localSheetId="2">#REF!</definedName>
    <definedName name="BDI" localSheetId="9">[19]INVENTÁRIO!$B$3</definedName>
    <definedName name="BDI">#REF!</definedName>
    <definedName name="BONI" localSheetId="3">#REF!</definedName>
    <definedName name="BONI" localSheetId="2">#REF!</definedName>
    <definedName name="BONI">#REF!</definedName>
    <definedName name="BOTA" localSheetId="9">#REF!</definedName>
    <definedName name="BOTA">#REF!</definedName>
    <definedName name="BR">[19]INVENTÁRIO!$B$14</definedName>
    <definedName name="BRITA">[4]DADOS!$C$12</definedName>
    <definedName name="BU" localSheetId="3">#REF!</definedName>
    <definedName name="BU" localSheetId="2">#REF!</definedName>
    <definedName name="BU" localSheetId="9">#REF!</definedName>
    <definedName name="BU">#REF!</definedName>
    <definedName name="BUEIRO" localSheetId="9">#REF!</definedName>
    <definedName name="BUEIRO">#REF!</definedName>
    <definedName name="BUEIROMA" localSheetId="3">[13]ROSTO!#REF!</definedName>
    <definedName name="BUEIROMA" localSheetId="2">[13]ROSTO!#REF!</definedName>
    <definedName name="BUEIROMA" localSheetId="9">[13]ROSTO!#REF!</definedName>
    <definedName name="BUEIROMA">[13]ROSTO!#REF!</definedName>
    <definedName name="BUEIROTA" localSheetId="3">#REF!</definedName>
    <definedName name="BUEIROTA" localSheetId="2">#REF!</definedName>
    <definedName name="BUEIROTA" localSheetId="9">#REF!</definedName>
    <definedName name="BUEIROTA">#REF!</definedName>
    <definedName name="BuiltIn_Print_Titles___0" localSheetId="9">#REF!</definedName>
    <definedName name="BuiltIn_Print_Titles___0">#REF!</definedName>
    <definedName name="BVBZ" localSheetId="3" hidden="1">{#N/A,#N/A,FALSE,"MO (2)"}</definedName>
    <definedName name="BVBZ" localSheetId="2" hidden="1">{#N/A,#N/A,FALSE,"MO (2)"}</definedName>
    <definedName name="BVBZ" hidden="1">{#N/A,#N/A,FALSE,"MO (2)"}</definedName>
    <definedName name="Ç" localSheetId="3" hidden="1">{#N/A,#N/A,FALSE,"MO (2)"}</definedName>
    <definedName name="Ç" localSheetId="2" hidden="1">{#N/A,#N/A,FALSE,"MO (2)"}</definedName>
    <definedName name="ç" localSheetId="9">#REF!</definedName>
    <definedName name="Ç" hidden="1">{#N/A,#N/A,FALSE,"MO (2)"}</definedName>
    <definedName name="C_" localSheetId="3">#REF!</definedName>
    <definedName name="C_" localSheetId="2">#REF!</definedName>
    <definedName name="C_" localSheetId="9">#REF!</definedName>
    <definedName name="C_">#REF!</definedName>
    <definedName name="cab_pmf" localSheetId="3">#REF!</definedName>
    <definedName name="cab_pmf" localSheetId="2">#REF!</definedName>
    <definedName name="cab_pmf">#REF!</definedName>
    <definedName name="CABE">[3]MARSHALL!$B$2:$K$5</definedName>
    <definedName name="cabeca" localSheetId="3">#REF!</definedName>
    <definedName name="cabeca" localSheetId="2">#REF!</definedName>
    <definedName name="cabeca">#REF!</definedName>
    <definedName name="cabeca1" localSheetId="3">#REF!</definedName>
    <definedName name="cabeca1" localSheetId="2">#REF!</definedName>
    <definedName name="cabeca1">#REF!</definedName>
    <definedName name="cabeçalho" localSheetId="3">#REF!</definedName>
    <definedName name="cabeçalho" localSheetId="2">#REF!</definedName>
    <definedName name="cabeçalho">#REF!</definedName>
    <definedName name="cabeçalho1">#REF!</definedName>
    <definedName name="CAIB">[4]DADOS!$C$19</definedName>
    <definedName name="CAL">[4]DADOS!$C$24</definedName>
    <definedName name="cam" localSheetId="3">#REF!</definedName>
    <definedName name="cam" localSheetId="2">#REF!</definedName>
    <definedName name="cam" localSheetId="9">#REF!</definedName>
    <definedName name="cam">#REF!</definedName>
    <definedName name="CAP_20" localSheetId="3">#REF!</definedName>
    <definedName name="CAP_20" localSheetId="2">#REF!</definedName>
    <definedName name="CAP_20">#REF!</definedName>
    <definedName name="CAPA" localSheetId="9">#REF!</definedName>
    <definedName name="CAPA">#REF!</definedName>
    <definedName name="CAPAMA" localSheetId="3">[13]ROSTO!#REF!</definedName>
    <definedName name="CAPAMA" localSheetId="2">[13]ROSTO!#REF!</definedName>
    <definedName name="CAPAMA" localSheetId="9">[13]ROSTO!#REF!</definedName>
    <definedName name="CAPAMA">[13]ROSTO!#REF!</definedName>
    <definedName name="CAPATA" localSheetId="3">#REF!</definedName>
    <definedName name="CAPATA" localSheetId="2">#REF!</definedName>
    <definedName name="CAPATA" localSheetId="9">#REF!</definedName>
    <definedName name="CAPATA">#REF!</definedName>
    <definedName name="CAPFRESA" localSheetId="9">#REF!</definedName>
    <definedName name="CAPFRESA">#REF!</definedName>
    <definedName name="CAPFRESAMA" localSheetId="3">[13]ROSTO!#REF!</definedName>
    <definedName name="CAPFRESAMA" localSheetId="2">[13]ROSTO!#REF!</definedName>
    <definedName name="CAPFRESAMA" localSheetId="9">[13]ROSTO!#REF!</definedName>
    <definedName name="CAPFRESAMA">[13]ROSTO!#REF!</definedName>
    <definedName name="CAPFRESATA" localSheetId="3">#REF!</definedName>
    <definedName name="CAPFRESATA" localSheetId="2">#REF!</definedName>
    <definedName name="CAPFRESATA" localSheetId="9">#REF!</definedName>
    <definedName name="CAPFRESATA">#REF!</definedName>
    <definedName name="CAPRS" localSheetId="9">#REF!</definedName>
    <definedName name="CAPRS">#REF!</definedName>
    <definedName name="CAPRSMA" localSheetId="3">[13]ROSTO!#REF!</definedName>
    <definedName name="CAPRSMA" localSheetId="2">[13]ROSTO!#REF!</definedName>
    <definedName name="CAPRSMA" localSheetId="9">[13]ROSTO!#REF!</definedName>
    <definedName name="CAPRSMA">[13]ROSTO!#REF!</definedName>
    <definedName name="CAPRSTA" localSheetId="3">#REF!</definedName>
    <definedName name="CAPRSTA" localSheetId="2">#REF!</definedName>
    <definedName name="CAPRSTA" localSheetId="9">#REF!</definedName>
    <definedName name="CAPRSTA">#REF!</definedName>
    <definedName name="cbuq" localSheetId="9">#REF!</definedName>
    <definedName name="cbuq">#REF!</definedName>
    <definedName name="CD" localSheetId="3">[20]PATO!#REF!</definedName>
    <definedName name="CD" localSheetId="2">[20]PATO!#REF!</definedName>
    <definedName name="CD" localSheetId="9">[20]PATO!#REF!</definedName>
    <definedName name="CD">[20]PATO!#REF!</definedName>
    <definedName name="cesar" localSheetId="3">#REF!</definedName>
    <definedName name="cesar" localSheetId="2">#REF!</definedName>
    <definedName name="cesar">#REF!</definedName>
    <definedName name="CFD" localSheetId="3">#REF!</definedName>
    <definedName name="CFD" localSheetId="2">#REF!</definedName>
    <definedName name="CFD" localSheetId="9">#REF!</definedName>
    <definedName name="CFD">#REF!</definedName>
    <definedName name="CFDMA" localSheetId="3">[13]ROSTO!#REF!</definedName>
    <definedName name="CFDMA" localSheetId="2">[13]ROSTO!#REF!</definedName>
    <definedName name="CFDMA" localSheetId="9">[13]ROSTO!#REF!</definedName>
    <definedName name="CFDMA">[13]ROSTO!#REF!</definedName>
    <definedName name="CFDTA" localSheetId="3">#REF!</definedName>
    <definedName name="CFDTA" localSheetId="2">#REF!</definedName>
    <definedName name="CFDTA" localSheetId="9">#REF!</definedName>
    <definedName name="CFDTA">#REF!</definedName>
    <definedName name="CIM">[4]DADOS!$C$14</definedName>
    <definedName name="çl" localSheetId="3" hidden="1">{#N/A,#N/A,FALSE,"MO (2)"}</definedName>
    <definedName name="çl" localSheetId="2" hidden="1">{#N/A,#N/A,FALSE,"MO (2)"}</definedName>
    <definedName name="çl" hidden="1">{#N/A,#N/A,FALSE,"MO (2)"}</definedName>
    <definedName name="CM_30" localSheetId="3">#REF!</definedName>
    <definedName name="CM_30" localSheetId="2">#REF!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3">#REF!</definedName>
    <definedName name="CPAV" localSheetId="2">#REF!</definedName>
    <definedName name="CPAV">#REF!</definedName>
    <definedName name="Cron" localSheetId="3" hidden="1">{#N/A,#N/A,FALSE,"MO (2)"}</definedName>
    <definedName name="Cron" localSheetId="2" hidden="1">{#N/A,#N/A,FALSE,"MO (2)"}</definedName>
    <definedName name="Cron" hidden="1">{#N/A,#N/A,FALSE,"MO (2)"}</definedName>
    <definedName name="CRONO" localSheetId="3">#REF!</definedName>
    <definedName name="CRONO" localSheetId="2">#REF!</definedName>
    <definedName name="CRONO" localSheetId="9">#REF!</definedName>
    <definedName name="CRONO">#REF!</definedName>
    <definedName name="Cronogr." localSheetId="3">'[22]CR LOTE 02'!#REF!</definedName>
    <definedName name="Cronogr." localSheetId="2">'[22]CR LOTE 02'!#REF!</definedName>
    <definedName name="Cronogr." localSheetId="9">'[22]CR LOTE 02'!#REF!</definedName>
    <definedName name="Cronogr.">'[22]CR LOTE 02'!#REF!</definedName>
    <definedName name="Custo_parcial" localSheetId="3">#REF!</definedName>
    <definedName name="Custo_parcial" localSheetId="2">#REF!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3">#REF!</definedName>
    <definedName name="data" localSheetId="2">#REF!</definedName>
    <definedName name="DATA" localSheetId="9">[4]DADOS!$B$7</definedName>
    <definedName name="data">#REF!</definedName>
    <definedName name="data1" localSheetId="3">#REF!</definedName>
    <definedName name="data1" localSheetId="2">#REF!</definedName>
    <definedName name="data1">#REF!</definedName>
    <definedName name="DATA2" localSheetId="3">#REF!</definedName>
    <definedName name="DATA2" localSheetId="2">#REF!</definedName>
    <definedName name="DATA2">#REF!</definedName>
    <definedName name="DATA3">#REF!</definedName>
    <definedName name="ddere" localSheetId="3" hidden="1">{#N/A,#N/A,FALSE,"MO (2)"}</definedName>
    <definedName name="ddere" localSheetId="2" hidden="1">{#N/A,#N/A,FALSE,"MO (2)"}</definedName>
    <definedName name="ddere" hidden="1">{#N/A,#N/A,FALSE,"MO (2)"}</definedName>
    <definedName name="dea" localSheetId="3">#REF!</definedName>
    <definedName name="dea" localSheetId="2">#REF!</definedName>
    <definedName name="dea" localSheetId="9">#REF!</definedName>
    <definedName name="dea">#REF!</definedName>
    <definedName name="DEQUIP" localSheetId="9">#REF!</definedName>
    <definedName name="DEQUIP">#REF!</definedName>
    <definedName name="DESM">[4]DADOS!$C$22</definedName>
    <definedName name="dfdfdfd" localSheetId="3" hidden="1">{#N/A,#N/A,FALSE,"MO (2)"}</definedName>
    <definedName name="dfdfdfd" localSheetId="2" hidden="1">{#N/A,#N/A,FALSE,"MO (2)"}</definedName>
    <definedName name="dfdfdfd" hidden="1">{#N/A,#N/A,FALSE,"MO (2)"}</definedName>
    <definedName name="DIE">'[23]INSUMOS BÁSICOS'!$E$67</definedName>
    <definedName name="DIESEL" localSheetId="3">#REF!</definedName>
    <definedName name="DIESEL" localSheetId="2">#REF!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3">#REF!</definedName>
    <definedName name="DIST" localSheetId="2">#REF!</definedName>
    <definedName name="DIST">#REF!</definedName>
    <definedName name="DIST1" localSheetId="3">#REF!</definedName>
    <definedName name="DIST1" localSheetId="2">#REF!</definedName>
    <definedName name="DIST1">#REF!</definedName>
    <definedName name="DIST10" localSheetId="3">#REF!</definedName>
    <definedName name="DIST10" localSheetId="2">#REF!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3">#REF!</definedName>
    <definedName name="DPESSO" localSheetId="2">#REF!</definedName>
    <definedName name="DPESSO" localSheetId="9">#REF!</definedName>
    <definedName name="DPESSO">#REF!</definedName>
    <definedName name="DRENA" localSheetId="3">#REF!</definedName>
    <definedName name="DRENA" localSheetId="2">#REF!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3" hidden="1">{#N/A,#N/A,FALSE,"MO (2)"}</definedName>
    <definedName name="eeeee" localSheetId="2" hidden="1">{#N/A,#N/A,FALSE,"MO (2)"}</definedName>
    <definedName name="eeeee" hidden="1">{#N/A,#N/A,FALSE,"MO (2)"}</definedName>
    <definedName name="EMUL_ASF" localSheetId="3">#REF!</definedName>
    <definedName name="EMUL_ASF" localSheetId="2">#REF!</definedName>
    <definedName name="EMUL_ASF" localSheetId="9">#REF!</definedName>
    <definedName name="EMUL_ASF">#REF!</definedName>
    <definedName name="EMUL_ASF_MA" localSheetId="3">[13]ROSTO!#REF!</definedName>
    <definedName name="EMUL_ASF_MA" localSheetId="2">[13]ROSTO!#REF!</definedName>
    <definedName name="EMUL_ASF_MA" localSheetId="9">[13]ROSTO!#REF!</definedName>
    <definedName name="EMUL_ASF_MA">[13]ROSTO!#REF!</definedName>
    <definedName name="EMUL_ASF_TA" localSheetId="3">#REF!</definedName>
    <definedName name="EMUL_ASF_TA" localSheetId="2">#REF!</definedName>
    <definedName name="EMUL_ASF_TA" localSheetId="9">#REF!</definedName>
    <definedName name="EMUL_ASF_TA">#REF!</definedName>
    <definedName name="EMULPOLIM" localSheetId="3">#REF!</definedName>
    <definedName name="EMULPOLIM" localSheetId="2">#REF!</definedName>
    <definedName name="EMULPOLIM">#REF!</definedName>
    <definedName name="ENCP">#REF!</definedName>
    <definedName name="ENCPA">#REF!</definedName>
    <definedName name="ENCT">#REF!</definedName>
    <definedName name="ENCTA">#REF!</definedName>
    <definedName name="eng">'[8]Mat Asf'!$C$36</definedName>
    <definedName name="eng." localSheetId="3" hidden="1">{#N/A,#N/A,FALSE,"MO (2)"}</definedName>
    <definedName name="eng." localSheetId="2" hidden="1">{#N/A,#N/A,FALSE,"MO (2)"}</definedName>
    <definedName name="eng." hidden="1">{#N/A,#N/A,FALSE,"MO (2)"}</definedName>
    <definedName name="ENGENHARIA" localSheetId="3" hidden="1">{#N/A,#N/A,FALSE,"MO (2)"}</definedName>
    <definedName name="ENGENHARIA" localSheetId="2" hidden="1">{#N/A,#N/A,FALSE,"MO (2)"}</definedName>
    <definedName name="ENGENHARIA" hidden="1">{#N/A,#N/A,FALSE,"MO (2)"}</definedName>
    <definedName name="EQP" localSheetId="9">[12]COMPOS1!#REF!</definedName>
    <definedName name="EQP">[12]COMPOS1!#REF!</definedName>
    <definedName name="equip" localSheetId="3">#REF!</definedName>
    <definedName name="equip" localSheetId="2">#REF!</definedName>
    <definedName name="equip" localSheetId="9">#REF!</definedName>
    <definedName name="equip">#REF!</definedName>
    <definedName name="ereerer" localSheetId="3" hidden="1">{#N/A,#N/A,FALSE,"MO (2)"}</definedName>
    <definedName name="ereerer" localSheetId="2" hidden="1">{#N/A,#N/A,FALSE,"MO (2)"}</definedName>
    <definedName name="ereerer" hidden="1">{#N/A,#N/A,FALSE,"MO (2)"}</definedName>
    <definedName name="ESC" localSheetId="3">#REF!</definedName>
    <definedName name="ESC" localSheetId="2">#REF!</definedName>
    <definedName name="ESC">#REF!</definedName>
    <definedName name="EU" localSheetId="3" hidden="1">{#N/A,#N/A,FALSE,"MO (2)"}</definedName>
    <definedName name="EU" localSheetId="2" hidden="1">{#N/A,#N/A,FALSE,"MO (2)"}</definedName>
    <definedName name="EU" hidden="1">{#N/A,#N/A,FALSE,"MO (2)"}</definedName>
    <definedName name="ex" localSheetId="3">#REF!</definedName>
    <definedName name="ex" localSheetId="2">#REF!</definedName>
    <definedName name="ex" localSheetId="9">#REF!</definedName>
    <definedName name="ex">#REF!</definedName>
    <definedName name="Excel_BuiltIn_Print_Area_1" localSheetId="3">#REF!</definedName>
    <definedName name="Excel_BuiltIn_Print_Area_1" localSheetId="2">#REF!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3">#REF!</definedName>
    <definedName name="EXT" localSheetId="2">#REF!</definedName>
    <definedName name="ext" localSheetId="9">[25]DG!$B$14</definedName>
    <definedName name="EXT">#REF!</definedName>
    <definedName name="EXTA" localSheetId="3">#REF!</definedName>
    <definedName name="EXTA" localSheetId="2">#REF!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3">[14]Mat.!#REF!</definedName>
    <definedName name="F.801" localSheetId="2">[14]Mat.!#REF!</definedName>
    <definedName name="F.801" localSheetId="9">[14]Mat.!#REF!</definedName>
    <definedName name="F.801">[14]Mat.!#REF!</definedName>
    <definedName name="F.802" localSheetId="3">[14]Mat.!#REF!</definedName>
    <definedName name="F.802" localSheetId="2">[14]Mat.!#REF!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3" hidden="1">{#N/A,#N/A,FALSE,"MO (2)"}</definedName>
    <definedName name="fe" localSheetId="2" hidden="1">{#N/A,#N/A,FALSE,"MO (2)"}</definedName>
    <definedName name="fe" hidden="1">{#N/A,#N/A,FALSE,"MO (2)"}</definedName>
    <definedName name="FIRMA" localSheetId="3">#REF!</definedName>
    <definedName name="FIRMA" localSheetId="2">#REF!</definedName>
    <definedName name="FIRMA" localSheetId="9">[25]DG!$B$8</definedName>
    <definedName name="FIRMA">#REF!</definedName>
    <definedName name="FIRMA1" localSheetId="3">#REF!</definedName>
    <definedName name="FIRMA1" localSheetId="2">#REF!</definedName>
    <definedName name="FIRMA1">#REF!</definedName>
    <definedName name="FIRMA2" localSheetId="3">#REF!</definedName>
    <definedName name="FIRMA2" localSheetId="2">#REF!</definedName>
    <definedName name="FIRMA2">#REF!</definedName>
    <definedName name="FIRMA3">#REF!</definedName>
    <definedName name="FRESA" localSheetId="9">#REF!</definedName>
    <definedName name="FRESA">#REF!</definedName>
    <definedName name="FRESAMA" localSheetId="3">[13]ROSTO!#REF!</definedName>
    <definedName name="FRESAMA" localSheetId="2">[13]ROSTO!#REF!</definedName>
    <definedName name="FRESAMA" localSheetId="9">[13]ROSTO!#REF!</definedName>
    <definedName name="FRESAMA">[13]ROSTO!#REF!</definedName>
    <definedName name="FRESATA" localSheetId="3">#REF!</definedName>
    <definedName name="FRESATA" localSheetId="2">#REF!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3">#REF!</definedName>
    <definedName name="GASOLINA" localSheetId="2">#REF!</definedName>
    <definedName name="GASOLINA">#REF!</definedName>
    <definedName name="GAST">[4]DADOS!$C$21</definedName>
    <definedName name="GD" localSheetId="3">'[23]QUADRO 04 - PLANILHAS PREÇOS'!#REF!</definedName>
    <definedName name="GD" localSheetId="2">'[23]QUADRO 04 - PLANILHAS PREÇOS'!#REF!</definedName>
    <definedName name="GD">'[23]QUADRO 04 - PLANILHAS PREÇOS'!#REF!</definedName>
    <definedName name="gfgfgfg" localSheetId="3" hidden="1">{#N/A,#N/A,FALSE,"MO (2)"}</definedName>
    <definedName name="gfgfgfg" localSheetId="2" hidden="1">{#N/A,#N/A,FALSE,"MO (2)"}</definedName>
    <definedName name="gfgfgfg" hidden="1">{#N/A,#N/A,FALSE,"MO (2)"}</definedName>
    <definedName name="ghghgh" localSheetId="3" hidden="1">{#N/A,#N/A,FALSE,"MO (2)"}</definedName>
    <definedName name="ghghgh" localSheetId="2" hidden="1">{#N/A,#N/A,FALSE,"MO (2)"}</definedName>
    <definedName name="ghghgh" hidden="1">{#N/A,#N/A,FALSE,"MO (2)"}</definedName>
    <definedName name="GHJ" localSheetId="3" hidden="1">{#N/A,#N/A,FALSE,"MO (2)"}</definedName>
    <definedName name="GHJ" localSheetId="2" hidden="1">{#N/A,#N/A,FALSE,"MO (2)"}</definedName>
    <definedName name="GHJ" hidden="1">{#N/A,#N/A,FALSE,"MO (2)"}</definedName>
    <definedName name="GRAMA">'[23]QUADRO 04 - PLANILHAS PREÇOS'!#REF!</definedName>
    <definedName name="_xlnm.Recorder" localSheetId="3">#REF!</definedName>
    <definedName name="_xlnm.Recorder" localSheetId="2">#REF!</definedName>
    <definedName name="_xlnm.Recorder">#REF!</definedName>
    <definedName name="Guias" localSheetId="3">#REF!</definedName>
    <definedName name="Guias" localSheetId="2">#REF!</definedName>
    <definedName name="Guias">#REF!</definedName>
    <definedName name="h" localSheetId="9">#REF!</definedName>
    <definedName name="h">#REF!</definedName>
    <definedName name="hhhhh" localSheetId="3" hidden="1">{#N/A,#N/A,FALSE,"MO (2)"}</definedName>
    <definedName name="hhhhh" localSheetId="2" hidden="1">{#N/A,#N/A,FALSE,"MO (2)"}</definedName>
    <definedName name="hhhhh" hidden="1">{#N/A,#N/A,FALSE,"MO (2)"}</definedName>
    <definedName name="hjhjhjhju" localSheetId="3" hidden="1">{#N/A,#N/A,FALSE,"MO (2)"}</definedName>
    <definedName name="hjhjhjhju" localSheetId="2" hidden="1">{#N/A,#N/A,FALSE,"MO (2)"}</definedName>
    <definedName name="hjhjhjhju" hidden="1">{#N/A,#N/A,FALSE,"MO (2)"}</definedName>
    <definedName name="i" localSheetId="3" hidden="1">{#N/A,#N/A,FALSE,"MO (2)"}</definedName>
    <definedName name="i" localSheetId="2" hidden="1">{#N/A,#N/A,FALSE,"MO (2)"}</definedName>
    <definedName name="i" hidden="1">{#N/A,#N/A,FALSE,"MO (2)"}</definedName>
    <definedName name="IMP" localSheetId="3">#REF!</definedName>
    <definedName name="IMP" localSheetId="2">#REF!</definedName>
    <definedName name="IMP" localSheetId="9">#REF!</definedName>
    <definedName name="IMP">#REF!</definedName>
    <definedName name="IMPMA" localSheetId="3">[13]ROSTO!#REF!</definedName>
    <definedName name="IMPMA" localSheetId="2">[13]ROSTO!#REF!</definedName>
    <definedName name="IMPMA" localSheetId="9">[13]ROSTO!#REF!</definedName>
    <definedName name="IMPMA">[13]ROSTO!#REF!</definedName>
    <definedName name="IMPTA" localSheetId="3">#REF!</definedName>
    <definedName name="IMPTA" localSheetId="2">#REF!</definedName>
    <definedName name="IMPTA" localSheetId="9">#REF!</definedName>
    <definedName name="IMPTA">#REF!</definedName>
    <definedName name="INDI22" localSheetId="3">#REF!</definedName>
    <definedName name="INDI22" localSheetId="2">#REF!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3" hidden="1">{#N/A,#N/A,FALSE,"MO (2)"}</definedName>
    <definedName name="j" localSheetId="2" hidden="1">{#N/A,#N/A,FALSE,"MO (2)"}</definedName>
    <definedName name="j" localSheetId="9">#REF!</definedName>
    <definedName name="j" hidden="1">{#N/A,#N/A,FALSE,"MO (2)"}</definedName>
    <definedName name="JAZ" localSheetId="3">#REF!</definedName>
    <definedName name="JAZ" localSheetId="2">#REF!</definedName>
    <definedName name="JAZ">#REF!</definedName>
    <definedName name="JAZIDAS">'[16]QUADRO 08 - COMPOSIÇÕES'!$H$786</definedName>
    <definedName name="jhjhjhjju" localSheetId="3" hidden="1">{#N/A,#N/A,FALSE,"MO (2)"}</definedName>
    <definedName name="jhjhjhjju" localSheetId="2" hidden="1">{#N/A,#N/A,FALSE,"MO (2)"}</definedName>
    <definedName name="jhjhjhjju" hidden="1">{#N/A,#N/A,FALSE,"MO (2)"}</definedName>
    <definedName name="jjjjj" localSheetId="3" hidden="1">{#N/A,#N/A,FALSE,"MO (2)"}</definedName>
    <definedName name="jjjjj" localSheetId="2" hidden="1">{#N/A,#N/A,FALSE,"MO (2)"}</definedName>
    <definedName name="jjjjj" hidden="1">{#N/A,#N/A,FALSE,"MO (2)"}</definedName>
    <definedName name="JJJJJL" localSheetId="3" hidden="1">{#N/A,#N/A,FALSE,"MO (2)"}</definedName>
    <definedName name="JJJJJL" localSheetId="2" hidden="1">{#N/A,#N/A,FALSE,"MO (2)"}</definedName>
    <definedName name="JJJJJL" hidden="1">{#N/A,#N/A,FALSE,"MO (2)"}</definedName>
    <definedName name="jo" localSheetId="3" hidden="1">{#N/A,#N/A,FALSE,"MO (2)"}</definedName>
    <definedName name="jo" localSheetId="2" hidden="1">{#N/A,#N/A,FALSE,"MO (2)"}</definedName>
    <definedName name="jo" hidden="1">{#N/A,#N/A,FALSE,"MO (2)"}</definedName>
    <definedName name="k" localSheetId="3">#REF!</definedName>
    <definedName name="k" localSheetId="2">#REF!</definedName>
    <definedName name="k" localSheetId="9">#REF!</definedName>
    <definedName name="k">#REF!</definedName>
    <definedName name="kkkkkk" localSheetId="3" hidden="1">{#N/A,#N/A,FALSE,"MO (2)"}</definedName>
    <definedName name="kkkkkk" localSheetId="2" hidden="1">{#N/A,#N/A,FALSE,"MO (2)"}</definedName>
    <definedName name="kkkkkk" hidden="1">{#N/A,#N/A,FALSE,"MO (2)"}</definedName>
    <definedName name="klklklkl" localSheetId="3" hidden="1">{#N/A,#N/A,FALSE,"MO (2)"}</definedName>
    <definedName name="klklklkl" localSheetId="2" hidden="1">{#N/A,#N/A,FALSE,"MO (2)"}</definedName>
    <definedName name="klklklkl" hidden="1">{#N/A,#N/A,FALSE,"MO (2)"}</definedName>
    <definedName name="KM.406.407" localSheetId="3">#REF!</definedName>
    <definedName name="KM.406.407" localSheetId="2">#REF!</definedName>
    <definedName name="KM.406.407" localSheetId="9">#REF!</definedName>
    <definedName name="KM.406.407">#REF!</definedName>
    <definedName name="koae" localSheetId="3">#REF!</definedName>
    <definedName name="koae" localSheetId="2">#REF!</definedName>
    <definedName name="koae">#REF!</definedName>
    <definedName name="kpavi">#REF!</definedName>
    <definedName name="ksinal" localSheetId="3">'[28]Indice de Reajuste'!#REF!</definedName>
    <definedName name="ksinal" localSheetId="2">'[28]Indice de Reajuste'!#REF!</definedName>
    <definedName name="ksinal">'[28]Indice de Reajuste'!#REF!</definedName>
    <definedName name="kterra" localSheetId="3">#REF!</definedName>
    <definedName name="kterra" localSheetId="2">#REF!</definedName>
    <definedName name="kterra">#REF!</definedName>
    <definedName name="LAMA" localSheetId="3">#REF!</definedName>
    <definedName name="LAMA" localSheetId="2">#REF!</definedName>
    <definedName name="LAMA" localSheetId="9">#REF!</definedName>
    <definedName name="LAMA">#REF!</definedName>
    <definedName name="LAMAMA" localSheetId="3">[13]ROSTO!#REF!</definedName>
    <definedName name="LAMAMA" localSheetId="2">[13]ROSTO!#REF!</definedName>
    <definedName name="LAMAMA" localSheetId="9">[13]ROSTO!#REF!</definedName>
    <definedName name="LAMAMA">[13]ROSTO!#REF!</definedName>
    <definedName name="LAMATA" localSheetId="3">#REF!</definedName>
    <definedName name="LAMATA" localSheetId="2">#REF!</definedName>
    <definedName name="LAMATA" localSheetId="9">#REF!</definedName>
    <definedName name="LAMATA">#REF!</definedName>
    <definedName name="LDI" localSheetId="9">#REF!</definedName>
    <definedName name="LDI">#REF!</definedName>
    <definedName name="ligação">[29]!PassaExtenso</definedName>
    <definedName name="loc" localSheetId="3">#REF!</definedName>
    <definedName name="loc" localSheetId="2">#REF!</definedName>
    <definedName name="loc">#REF!</definedName>
    <definedName name="local" localSheetId="3">#REF!</definedName>
    <definedName name="local" localSheetId="2">#REF!</definedName>
    <definedName name="local">#REF!</definedName>
    <definedName name="LOCAL1">'[16]DADOS DE ENTRADA CONCORRÊNCIA'!$B$25</definedName>
    <definedName name="LOCALIDADE">'[16]DADOS DE ENTRADA CONCORRÊNCIA'!$B$8</definedName>
    <definedName name="LOTA" localSheetId="3">#REF!</definedName>
    <definedName name="LOTA" localSheetId="2">#REF!</definedName>
    <definedName name="LOTA">#REF!</definedName>
    <definedName name="LOTE" localSheetId="3">#REF!</definedName>
    <definedName name="LOTE" localSheetId="2">#REF!</definedName>
    <definedName name="LOTE">#REF!</definedName>
    <definedName name="LOTE1" localSheetId="3">#REF!</definedName>
    <definedName name="LOTE1" localSheetId="2">#REF!</definedName>
    <definedName name="LOTE1">#REF!</definedName>
    <definedName name="LS">#REF!</definedName>
    <definedName name="lu" localSheetId="3" hidden="1">{#N/A,#N/A,FALSE,"MO (2)"}</definedName>
    <definedName name="lu" localSheetId="2" hidden="1">{#N/A,#N/A,FALSE,"MO (2)"}</definedName>
    <definedName name="lu" hidden="1">{#N/A,#N/A,FALSE,"MO (2)"}</definedName>
    <definedName name="m" localSheetId="3">#REF!</definedName>
    <definedName name="m" localSheetId="2">#REF!</definedName>
    <definedName name="m" localSheetId="9">#REF!</definedName>
    <definedName name="m">#REF!</definedName>
    <definedName name="M.001" localSheetId="3">[14]Mat.!#REF!</definedName>
    <definedName name="M.001" localSheetId="2">[14]Mat.!#REF!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3">#REF!</definedName>
    <definedName name="MAAUQ" localSheetId="2">#REF!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3">[12]COMPOS1!#REF!</definedName>
    <definedName name="MAT" localSheetId="2">[12]COMPOS1!#REF!</definedName>
    <definedName name="MAT" localSheetId="9">[12]COMPOS1!#REF!</definedName>
    <definedName name="MAT">[12]COMPOS1!#REF!</definedName>
    <definedName name="mater" localSheetId="3">#REF!</definedName>
    <definedName name="mater" localSheetId="2">#REF!</definedName>
    <definedName name="mater" localSheetId="9">#REF!</definedName>
    <definedName name="mater">#REF!</definedName>
    <definedName name="MEDPER1" localSheetId="3">[30]DG!$K$5</definedName>
    <definedName name="MEDPER1" localSheetId="2">[30]DG!$K$5</definedName>
    <definedName name="MEDPER1">[31]DG!$K$5</definedName>
    <definedName name="Mem">'[8]Mat Asf'!$C$37</definedName>
    <definedName name="MÊS">[21]PT!$I$4</definedName>
    <definedName name="MF" localSheetId="3">#REF!</definedName>
    <definedName name="MF" localSheetId="2">#REF!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3">[13]ROSTO!#REF!</definedName>
    <definedName name="MICROMA" localSheetId="2">[13]ROSTO!#REF!</definedName>
    <definedName name="MICROMA" localSheetId="9">[13]ROSTO!#REF!</definedName>
    <definedName name="MICROMA">[13]ROSTO!#REF!</definedName>
    <definedName name="MICROTA" localSheetId="3">#REF!</definedName>
    <definedName name="MICROTA" localSheetId="2">#REF!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3">[13]ROSTO!#REF!</definedName>
    <definedName name="MPAMA" localSheetId="2">[13]ROSTO!#REF!</definedName>
    <definedName name="MPAMA" localSheetId="9">[13]ROSTO!#REF!</definedName>
    <definedName name="MPAMA">[13]ROSTO!#REF!</definedName>
    <definedName name="MPATA" localSheetId="3">#REF!</definedName>
    <definedName name="MPATA" localSheetId="2">#REF!</definedName>
    <definedName name="MPATA" localSheetId="9">#REF!</definedName>
    <definedName name="MPATA">#REF!</definedName>
    <definedName name="MSICRO">[19]INVENTÁRIO!$B$1</definedName>
    <definedName name="n" localSheetId="3">#REF!</definedName>
    <definedName name="n" localSheetId="2">#REF!</definedName>
    <definedName name="n" localSheetId="9">#REF!</definedName>
    <definedName name="n">#REF!</definedName>
    <definedName name="N.001" localSheetId="3">[14]Mat.!#REF!</definedName>
    <definedName name="N.001" localSheetId="2">[14]Mat.!#REF!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3">#REF!</definedName>
    <definedName name="NBV" localSheetId="2">#REF!</definedName>
    <definedName name="NBV" localSheetId="9">#REF!</definedName>
    <definedName name="NBV">#REF!</definedName>
    <definedName name="NMES">[25]DG!$J$6</definedName>
    <definedName name="NUMED">[25]DG!$J$4</definedName>
    <definedName name="O" localSheetId="3">[1]DR84PCRF!#REF!</definedName>
    <definedName name="O" localSheetId="2">[1]DR84PCRF!#REF!</definedName>
    <definedName name="O" localSheetId="9">[1]DR84PCRF!#REF!</definedName>
    <definedName name="O">[1]DR84PCRF!#REF!</definedName>
    <definedName name="O.001" localSheetId="3">[14]Mat.!#REF!</definedName>
    <definedName name="O.001" localSheetId="2">[14]Mat.!#REF!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3">#REF!</definedName>
    <definedName name="oac" localSheetId="2">#REF!</definedName>
    <definedName name="oac">#REF!</definedName>
    <definedName name="Oacorre2" localSheetId="3">#REF!</definedName>
    <definedName name="Oacorre2" localSheetId="2">#REF!</definedName>
    <definedName name="Oacorre2">#REF!</definedName>
    <definedName name="OAE" localSheetId="3">'[32]RESUMO-DVOP'!#REF!</definedName>
    <definedName name="OAE" localSheetId="2">'[32]RESUMO-DVOP'!#REF!</definedName>
    <definedName name="OAE">'[32]RESUMO-DVOP'!#REF!</definedName>
    <definedName name="Oaesp2" localSheetId="3">#REF!</definedName>
    <definedName name="Oaesp2" localSheetId="2">#REF!</definedName>
    <definedName name="Oaesp2">#REF!</definedName>
    <definedName name="OBJETO" localSheetId="3">#REF!</definedName>
    <definedName name="OBJETO" localSheetId="2">#REF!</definedName>
    <definedName name="OBJETO">#REF!</definedName>
    <definedName name="OBJETOA" localSheetId="3">#REF!</definedName>
    <definedName name="OBJETOA" localSheetId="2">#REF!</definedName>
    <definedName name="OBJETOA">#REF!</definedName>
    <definedName name="ocom">#REF!</definedName>
    <definedName name="Ocomp2">#REF!</definedName>
    <definedName name="OLEO">[4]DADOS!$C$23</definedName>
    <definedName name="OP" localSheetId="3">#REF!</definedName>
    <definedName name="OP" localSheetId="2">#REF!</definedName>
    <definedName name="OP">#REF!</definedName>
    <definedName name="OPA" localSheetId="3">#REF!</definedName>
    <definedName name="OPA" localSheetId="2">#REF!</definedName>
    <definedName name="OPA">#REF!</definedName>
    <definedName name="Orçamento" localSheetId="3">#REF!</definedName>
    <definedName name="Orçamento" localSheetId="2">#REF!</definedName>
    <definedName name="Orçamento" localSheetId="9">[33]Orçamento!$A$13:$D$34</definedName>
    <definedName name="Orçamento">#REF!</definedName>
    <definedName name="org" localSheetId="3">#REF!</definedName>
    <definedName name="org" localSheetId="2">#REF!</definedName>
    <definedName name="org">#REF!</definedName>
    <definedName name="ÓRGÃO" localSheetId="3">#REF!</definedName>
    <definedName name="ÓRGÃO" localSheetId="2">#REF!</definedName>
    <definedName name="ÓRGÃO">#REF!</definedName>
    <definedName name="Orla">#REF!</definedName>
    <definedName name="orlando">#REF!</definedName>
    <definedName name="p" localSheetId="9">#REF!</definedName>
    <definedName name="p">#REF!</definedName>
    <definedName name="P.001" localSheetId="3">[14]Mat.!#REF!</definedName>
    <definedName name="P.001" localSheetId="2">[14]Mat.!#REF!</definedName>
    <definedName name="P.001" localSheetId="9">[14]Mat.!#REF!</definedName>
    <definedName name="P.001">[14]Mat.!#REF!</definedName>
    <definedName name="P.002" localSheetId="3">[14]Mat.!#REF!</definedName>
    <definedName name="P.002" localSheetId="2">[14]Mat.!#REF!</definedName>
    <definedName name="P.002" localSheetId="9">[14]Mat.!#REF!</definedName>
    <definedName name="P.002">[14]Mat.!#REF!</definedName>
    <definedName name="PA" localSheetId="3">#REF!</definedName>
    <definedName name="PA" localSheetId="2">#REF!</definedName>
    <definedName name="PA" localSheetId="9">#REF!</definedName>
    <definedName name="PA">#REF!</definedName>
    <definedName name="PAMA" localSheetId="3">[13]ROSTO!#REF!</definedName>
    <definedName name="PAMA" localSheetId="2">[13]ROSTO!#REF!</definedName>
    <definedName name="PAMA" localSheetId="9">[13]ROSTO!#REF!</definedName>
    <definedName name="PAMA">[13]ROSTO!#REF!</definedName>
    <definedName name="PassaExtenso">NA()</definedName>
    <definedName name="PassaExtenso_14" localSheetId="3">'BDI DIFERENCIADO_OK'!PassaExtenso_14</definedName>
    <definedName name="PassaExtenso_14" localSheetId="2">BDI_OK!PassaExtenso_14</definedName>
    <definedName name="PassaExtenso_14" localSheetId="9">COMPOSIÇÕES!PassaExtenso_14</definedName>
    <definedName name="PassaExtenso_14">'BDI DIFERENCIADO_OK'!PassaExtenso_14</definedName>
    <definedName name="PassaExtenso_25" localSheetId="3">'BDI DIFERENCIADO_OK'!PassaExtenso_25</definedName>
    <definedName name="PassaExtenso_25" localSheetId="2">BDI_OK!PassaExtenso_25</definedName>
    <definedName name="PassaExtenso_25" localSheetId="9">COMPOSIÇÕES!PassaExtenso_25</definedName>
    <definedName name="PassaExtenso_25">'BDI DIFERENCIADO_OK'!PassaExtenso_25</definedName>
    <definedName name="PATA" localSheetId="3">#REF!</definedName>
    <definedName name="PATA" localSheetId="2">#REF!</definedName>
    <definedName name="PATA" localSheetId="9">#REF!</definedName>
    <definedName name="PATA">#REF!</definedName>
    <definedName name="PATO">[21]PT!$A$9:$J$54</definedName>
    <definedName name="PAVI" localSheetId="3">#REF!+#REF!</definedName>
    <definedName name="PAVI" localSheetId="2">#REF!+#REF!</definedName>
    <definedName name="PAVI">#REF!+#REF!</definedName>
    <definedName name="Pavi2" localSheetId="3">#REF!</definedName>
    <definedName name="Pavi2" localSheetId="2">#REF!</definedName>
    <definedName name="Pavi2">#REF!</definedName>
    <definedName name="PDM">[4]DADOS!$C$13</definedName>
    <definedName name="PE_14" localSheetId="3">'BDI DIFERENCIADO_OK'!PE_14</definedName>
    <definedName name="PE_14" localSheetId="2">BDI_OK!PE_14</definedName>
    <definedName name="PE_14" localSheetId="9">COMPOSIÇÕES!PE_14</definedName>
    <definedName name="PE_14">'BDI DIFERENCIADO_OK'!PE_14</definedName>
    <definedName name="PED" localSheetId="3">#REF!</definedName>
    <definedName name="PED" localSheetId="2">#REF!</definedName>
    <definedName name="PED">#REF!</definedName>
    <definedName name="PEDA" localSheetId="3">#REF!</definedName>
    <definedName name="PEDA" localSheetId="2">#REF!</definedName>
    <definedName name="PEDA">#REF!</definedName>
    <definedName name="PER">[25]DG!$J$7</definedName>
    <definedName name="PERIODO" localSheetId="3">#REF!</definedName>
    <definedName name="PERIODO" localSheetId="2">#REF!</definedName>
    <definedName name="PERIODO" localSheetId="9">#REF!</definedName>
    <definedName name="PERIODO">#REF!</definedName>
    <definedName name="PESSO" localSheetId="9">#REF!</definedName>
    <definedName name="PESSO">#REF!</definedName>
    <definedName name="PG">[13]DG!$B$7</definedName>
    <definedName name="PIN" localSheetId="3">#REF!</definedName>
    <definedName name="PIN" localSheetId="2">#REF!</definedName>
    <definedName name="PIN" localSheetId="9">#REF!</definedName>
    <definedName name="PIN">#REF!</definedName>
    <definedName name="PINL" localSheetId="9">#REF!</definedName>
    <definedName name="PINL">#REF!</definedName>
    <definedName name="PINLMA" localSheetId="3">[13]ROSTO!#REF!</definedName>
    <definedName name="PINLMA" localSheetId="2">[13]ROSTO!#REF!</definedName>
    <definedName name="PINLMA" localSheetId="9">[13]ROSTO!#REF!</definedName>
    <definedName name="PINLMA">[13]ROSTO!#REF!</definedName>
    <definedName name="PINLTA" localSheetId="3">#REF!</definedName>
    <definedName name="PINLTA" localSheetId="2">#REF!</definedName>
    <definedName name="PINLTA" localSheetId="9">#REF!</definedName>
    <definedName name="PINLTA">#REF!</definedName>
    <definedName name="PINMA" localSheetId="3">[13]ROSTO!#REF!</definedName>
    <definedName name="PINMA" localSheetId="2">[13]ROSTO!#REF!</definedName>
    <definedName name="PINMA" localSheetId="9">[13]ROSTO!#REF!</definedName>
    <definedName name="PINMA">[13]ROSTO!#REF!</definedName>
    <definedName name="PINTA" localSheetId="3">#REF!</definedName>
    <definedName name="PINTA" localSheetId="2">#REF!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3">[13]ROSTO!#REF!</definedName>
    <definedName name="PLACAMA" localSheetId="2">[13]ROSTO!#REF!</definedName>
    <definedName name="PLACAMA" localSheetId="9">[13]ROSTO!#REF!</definedName>
    <definedName name="PLACAMA">[13]ROSTO!#REF!</definedName>
    <definedName name="PLACATA" localSheetId="3">#REF!</definedName>
    <definedName name="PLACATA" localSheetId="2">#REF!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3">[13]ROSTO!#REF!</definedName>
    <definedName name="PLFRESAMA" localSheetId="2">[13]ROSTO!#REF!</definedName>
    <definedName name="PLFRESAMA" localSheetId="9">[13]ROSTO!#REF!</definedName>
    <definedName name="PLFRESAMA">[13]ROSTO!#REF!</definedName>
    <definedName name="PLFRESATA" localSheetId="3">#REF!</definedName>
    <definedName name="PLFRESATA" localSheetId="2">#REF!</definedName>
    <definedName name="PLFRESATA" localSheetId="9">#REF!</definedName>
    <definedName name="PLFRESATA">#REF!</definedName>
    <definedName name="PLPA" localSheetId="9">#REF!</definedName>
    <definedName name="PLPA">#REF!</definedName>
    <definedName name="PLPAMA" localSheetId="3">[13]ROSTO!#REF!</definedName>
    <definedName name="PLPAMA" localSheetId="2">[13]ROSTO!#REF!</definedName>
    <definedName name="PLPAMA" localSheetId="9">[13]ROSTO!#REF!</definedName>
    <definedName name="PLPAMA">[13]ROSTO!#REF!</definedName>
    <definedName name="PLPATA" localSheetId="3">#REF!</definedName>
    <definedName name="PLPATA" localSheetId="2">#REF!</definedName>
    <definedName name="PLPATA" localSheetId="9">#REF!</definedName>
    <definedName name="PLPATA">#REF!</definedName>
    <definedName name="PLRS" localSheetId="9">#REF!</definedName>
    <definedName name="PLRS">#REF!</definedName>
    <definedName name="PLRSMA" localSheetId="3">[13]ROSTO!#REF!</definedName>
    <definedName name="PLRSMA" localSheetId="2">[13]ROSTO!#REF!</definedName>
    <definedName name="PLRSMA" localSheetId="9">[13]ROSTO!#REF!</definedName>
    <definedName name="PLRSMA">[13]ROSTO!#REF!</definedName>
    <definedName name="PLRSTA" localSheetId="3">#REF!</definedName>
    <definedName name="PLRSTA" localSheetId="2">#REF!</definedName>
    <definedName name="PLRSTA" localSheetId="9">#REF!</definedName>
    <definedName name="PLRSTA">#REF!</definedName>
    <definedName name="PONTE" localSheetId="9">#REF!</definedName>
    <definedName name="PONTE">#REF!</definedName>
    <definedName name="popopopo" localSheetId="3" hidden="1">{#N/A,#N/A,FALSE,"MO (2)"}</definedName>
    <definedName name="popopopo" localSheetId="2" hidden="1">{#N/A,#N/A,FALSE,"MO (2)"}</definedName>
    <definedName name="popopopo" hidden="1">{#N/A,#N/A,FALSE,"MO (2)"}</definedName>
    <definedName name="PRAZO" localSheetId="3">#REF!</definedName>
    <definedName name="PRAZO" localSheetId="2">#REF!</definedName>
    <definedName name="PRAZO">#REF!</definedName>
    <definedName name="PRAZOA" localSheetId="3">#REF!</definedName>
    <definedName name="PRAZOA" localSheetId="2">#REF!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3">#REF!</definedName>
    <definedName name="Print_Area_MI" localSheetId="2">#REF!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3">[14]Mat.!#REF!</definedName>
    <definedName name="Q.001" localSheetId="2">[14]Mat.!#REF!</definedName>
    <definedName name="Q.001" localSheetId="9">[14]Mat.!#REF!</definedName>
    <definedName name="Q.001">[14]Mat.!#REF!</definedName>
    <definedName name="Q.002" localSheetId="3">[14]Mat.!#REF!</definedName>
    <definedName name="Q.002" localSheetId="2">[14]Mat.!#REF!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3" hidden="1">{#N/A,#N/A,FALSE,"MO (2)"}</definedName>
    <definedName name="qqqqq" localSheetId="2" hidden="1">{#N/A,#N/A,FALSE,"MO (2)"}</definedName>
    <definedName name="qqqqq" hidden="1">{#N/A,#N/A,FALSE,"MO (2)"}</definedName>
    <definedName name="QUADRO">[3]MARSHALL!$A$2:$K$51</definedName>
    <definedName name="QUANT" localSheetId="3">#REF!</definedName>
    <definedName name="QUANT" localSheetId="2">#REF!</definedName>
    <definedName name="QUANT" localSheetId="9">#REF!</definedName>
    <definedName name="QUANT">#REF!</definedName>
    <definedName name="QUANT_acumu" localSheetId="3">#REF!</definedName>
    <definedName name="QUANT_acumu" localSheetId="2">#REF!</definedName>
    <definedName name="QUANT_acumu">#REF!</definedName>
    <definedName name="rea">#REF!</definedName>
    <definedName name="REAJ">#REF!</definedName>
    <definedName name="REBOQUE">[19]COMPOSIÇÕES!$H$76</definedName>
    <definedName name="RECREV" localSheetId="3">[20]PATO!#REF!</definedName>
    <definedName name="RECREV" localSheetId="2">[20]PATO!#REF!</definedName>
    <definedName name="RECREV" localSheetId="9">[20]PATO!#REF!</definedName>
    <definedName name="RECREV">[20]PATO!#REF!</definedName>
    <definedName name="reparos">[29]!PassaExtenso</definedName>
    <definedName name="res" localSheetId="3" hidden="1">{#N/A,#N/A,FALSE,"MO (2)"}</definedName>
    <definedName name="res" localSheetId="2" hidden="1">{#N/A,#N/A,FALSE,"MO (2)"}</definedName>
    <definedName name="res" hidden="1">{#N/A,#N/A,FALSE,"MO (2)"}</definedName>
    <definedName name="resu" localSheetId="3" hidden="1">{#N/A,#N/A,FALSE,"MO (2)"}</definedName>
    <definedName name="resu" localSheetId="2" hidden="1">{#N/A,#N/A,FALSE,"MO (2)"}</definedName>
    <definedName name="resu" hidden="1">{#N/A,#N/A,FALSE,"MO (2)"}</definedName>
    <definedName name="Resumo_Quantidade" localSheetId="3">#REF!</definedName>
    <definedName name="Resumo_Quantidade" localSheetId="2">#REF!</definedName>
    <definedName name="Resumo_Quantidade" localSheetId="9">#REF!</definedName>
    <definedName name="Resumo_Quantidade">#REF!</definedName>
    <definedName name="resumoii" localSheetId="3" hidden="1">{#N/A,#N/A,FALSE,"MO (2)"}</definedName>
    <definedName name="resumoii" localSheetId="2" hidden="1">{#N/A,#N/A,FALSE,"MO (2)"}</definedName>
    <definedName name="resumoii" hidden="1">{#N/A,#N/A,FALSE,"MO (2)"}</definedName>
    <definedName name="ria" localSheetId="3">#REF!</definedName>
    <definedName name="ria" localSheetId="2">#REF!</definedName>
    <definedName name="ria" localSheetId="9">#REF!</definedName>
    <definedName name="ria">#REF!</definedName>
    <definedName name="RL_1C" localSheetId="3">#REF!</definedName>
    <definedName name="RL_1C" localSheetId="2">#REF!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3">[13]ROSTO!#REF!</definedName>
    <definedName name="RMCGPMA" localSheetId="2">[13]ROSTO!#REF!</definedName>
    <definedName name="RMCGPMA" localSheetId="9">[13]ROSTO!#REF!</definedName>
    <definedName name="RMCGPMA">[13]ROSTO!#REF!</definedName>
    <definedName name="RMCGPTA" localSheetId="3">#REF!</definedName>
    <definedName name="RMCGPTA" localSheetId="2">#REF!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3">[13]ROSTO!#REF!</definedName>
    <definedName name="RMRBMA" localSheetId="2">[13]ROSTO!#REF!</definedName>
    <definedName name="RMRBMA" localSheetId="9">[13]ROSTO!#REF!</definedName>
    <definedName name="RMRBMA">[13]ROSTO!#REF!</definedName>
    <definedName name="RMRBTA" localSheetId="3">#REF!</definedName>
    <definedName name="RMRBTA" localSheetId="2">#REF!</definedName>
    <definedName name="RMRBTA" localSheetId="9">#REF!</definedName>
    <definedName name="RMRBTA">#REF!</definedName>
    <definedName name="rod" localSheetId="3">#REF!</definedName>
    <definedName name="rod" localSheetId="2">#REF!</definedName>
    <definedName name="ROD" localSheetId="9">[13]DG!$B$10</definedName>
    <definedName name="rod">#REF!</definedName>
    <definedName name="rodo" localSheetId="3">#REF!</definedName>
    <definedName name="rodo" localSheetId="2">#REF!</definedName>
    <definedName name="rodo">#REF!</definedName>
    <definedName name="RODO1" localSheetId="3">#REF!</definedName>
    <definedName name="RODO1" localSheetId="2">#REF!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3">#REF!</definedName>
    <definedName name="RP" localSheetId="2">#REF!</definedName>
    <definedName name="RP" localSheetId="9">#REF!</definedName>
    <definedName name="RP">#REF!</definedName>
    <definedName name="RR_1C" localSheetId="3">#REF!</definedName>
    <definedName name="RR_1C" localSheetId="2">#REF!</definedName>
    <definedName name="RR_1C">#REF!</definedName>
    <definedName name="RR_2C">#REF!</definedName>
    <definedName name="RR1C">#REF!</definedName>
    <definedName name="RR1CRSFRESA" localSheetId="9">#REF!</definedName>
    <definedName name="RR1CRSFRESA">#REF!</definedName>
    <definedName name="RR1CRSFRESAMA" localSheetId="3">[13]ROSTO!#REF!</definedName>
    <definedName name="RR1CRSFRESAMA" localSheetId="2">[13]ROSTO!#REF!</definedName>
    <definedName name="RR1CRSFRESAMA" localSheetId="9">[13]ROSTO!#REF!</definedName>
    <definedName name="RR1CRSFRESAMA">[13]ROSTO!#REF!</definedName>
    <definedName name="RR1CRSFRESATA" localSheetId="3">#REF!</definedName>
    <definedName name="RR1CRSFRESATA" localSheetId="2">#REF!</definedName>
    <definedName name="RR1CRSFRESATA" localSheetId="9">#REF!</definedName>
    <definedName name="RR1CRSFRESATA">#REF!</definedName>
    <definedName name="RR2C">[4]DADOS!$C$32</definedName>
    <definedName name="RRD" localSheetId="3">#REF!</definedName>
    <definedName name="RRD" localSheetId="2">#REF!</definedName>
    <definedName name="RRD">#REF!</definedName>
    <definedName name="RRS" localSheetId="3">#REF!</definedName>
    <definedName name="RRS" localSheetId="2">#REF!</definedName>
    <definedName name="RRS" localSheetId="9">#REF!</definedName>
    <definedName name="RRS">#REF!</definedName>
    <definedName name="RRSMA" localSheetId="3">[13]ROSTO!#REF!</definedName>
    <definedName name="RRSMA" localSheetId="2">[13]ROSTO!#REF!</definedName>
    <definedName name="RRSMA" localSheetId="9">[13]ROSTO!#REF!</definedName>
    <definedName name="RRSMA">[13]ROSTO!#REF!</definedName>
    <definedName name="RRSTA" localSheetId="3">#REF!</definedName>
    <definedName name="RRSTA" localSheetId="2">#REF!</definedName>
    <definedName name="RRSTA" localSheetId="9">#REF!</definedName>
    <definedName name="RRSTA">#REF!</definedName>
    <definedName name="RSMA" localSheetId="3">[13]ROSTO!#REF!</definedName>
    <definedName name="RSMA" localSheetId="2">[13]ROSTO!#REF!</definedName>
    <definedName name="RSMA" localSheetId="9">[13]ROSTO!#REF!</definedName>
    <definedName name="RSMA">[13]ROSTO!#REF!</definedName>
    <definedName name="RUAS" localSheetId="3">#REF!</definedName>
    <definedName name="RUAS" localSheetId="2">#REF!</definedName>
    <definedName name="RUAS" localSheetId="9">#REF!</definedName>
    <definedName name="RUAS">#REF!</definedName>
    <definedName name="S" localSheetId="9">#REF!</definedName>
    <definedName name="S">#REF!</definedName>
    <definedName name="SALÁRIOMINIMO">#REF!</definedName>
    <definedName name="salete" localSheetId="3" hidden="1">{#N/A,#N/A,FALSE,"MO (2)"}</definedName>
    <definedName name="salete" localSheetId="2" hidden="1">{#N/A,#N/A,FALSE,"MO (2)"}</definedName>
    <definedName name="salete" hidden="1">{#N/A,#N/A,FALSE,"MO (2)"}</definedName>
    <definedName name="salete.com" localSheetId="3" hidden="1">{#N/A,#N/A,FALSE,"MO (2)"}</definedName>
    <definedName name="salete.com" localSheetId="2" hidden="1">{#N/A,#N/A,FALSE,"MO (2)"}</definedName>
    <definedName name="salete.com" hidden="1">{#N/A,#N/A,FALSE,"MO (2)"}</definedName>
    <definedName name="SASA" localSheetId="3" hidden="1">{#N/A,#N/A,FALSE,"MO (2)"}</definedName>
    <definedName name="SASA" localSheetId="2" hidden="1">{#N/A,#N/A,FALSE,"MO (2)"}</definedName>
    <definedName name="SASA" hidden="1">{#N/A,#N/A,FALSE,"MO (2)"}</definedName>
    <definedName name="sasa.com" localSheetId="3" hidden="1">{#N/A,#N/A,FALSE,"MO (2)"}</definedName>
    <definedName name="sasa.com" localSheetId="2" hidden="1">{#N/A,#N/A,FALSE,"MO (2)"}</definedName>
    <definedName name="sasa.com" hidden="1">{#N/A,#N/A,FALSE,"MO (2)"}</definedName>
    <definedName name="sasaasa" localSheetId="3" hidden="1">{#N/A,#N/A,FALSE,"MO (2)"}</definedName>
    <definedName name="sasaasa" localSheetId="2" hidden="1">{#N/A,#N/A,FALSE,"MO (2)"}</definedName>
    <definedName name="sasaasa" hidden="1">{#N/A,#N/A,FALSE,"MO (2)"}</definedName>
    <definedName name="SB" localSheetId="3">#REF!</definedName>
    <definedName name="SB" localSheetId="2">#REF!</definedName>
    <definedName name="SB">#REF!</definedName>
    <definedName name="SBRP" localSheetId="3">#REF!</definedName>
    <definedName name="SBRP" localSheetId="2">#REF!</definedName>
    <definedName name="SBRP" localSheetId="9">#REF!</definedName>
    <definedName name="SBRP">#REF!</definedName>
    <definedName name="scon">#REF!</definedName>
    <definedName name="sdfg">#REF!</definedName>
    <definedName name="sdsdsds" localSheetId="3" hidden="1">{#N/A,#N/A,FALSE,"MO (2)"}</definedName>
    <definedName name="sdsdsds" localSheetId="2" hidden="1">{#N/A,#N/A,FALSE,"MO (2)"}</definedName>
    <definedName name="sdsdsds" hidden="1">{#N/A,#N/A,FALSE,"MO (2)"}</definedName>
    <definedName name="sdsdsdsx" localSheetId="3" hidden="1">{#N/A,#N/A,FALSE,"MO (2)"}</definedName>
    <definedName name="sdsdsdsx" localSheetId="2" hidden="1">{#N/A,#N/A,FALSE,"MO (2)"}</definedName>
    <definedName name="sdsdsdsx" hidden="1">{#N/A,#N/A,FALSE,"MO (2)"}</definedName>
    <definedName name="SEG">[25]DG!$B$13</definedName>
    <definedName name="segm">[34]dados!$B$5</definedName>
    <definedName name="segment" localSheetId="3">#REF!</definedName>
    <definedName name="segment" localSheetId="2">#REF!</definedName>
    <definedName name="segment">#REF!</definedName>
    <definedName name="SEGMENTO" localSheetId="9">[21]PT!$B$6</definedName>
    <definedName name="SEGMENTO">'[16]DADOS DE ENTRADA CONCORRÊNCIA'!$B$19</definedName>
    <definedName name="SELO" localSheetId="3">'[23]QUADRO 04 - PLANILHAS PREÇOS'!#REF!</definedName>
    <definedName name="SELO" localSheetId="2">'[23]QUADRO 04 - PLANILHAS PREÇOS'!#REF!</definedName>
    <definedName name="SELO">'[23]QUADRO 04 - PLANILHAS PREÇOS'!#REF!</definedName>
    <definedName name="SELOA" localSheetId="3">'[23]QUADRO 04 - PLANILHAS PREÇOS'!#REF!</definedName>
    <definedName name="SELOA" localSheetId="2">'[23]QUADRO 04 - PLANILHAS PREÇOS'!#REF!</definedName>
    <definedName name="SELOA">'[23]QUADRO 04 - PLANILHAS PREÇOS'!#REF!</definedName>
    <definedName name="sencount" hidden="1">1</definedName>
    <definedName name="SERV" localSheetId="3">[12]COMPOS1!#REF!</definedName>
    <definedName name="SERV" localSheetId="2">[12]COMPOS1!#REF!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3">#REF!</definedName>
    <definedName name="sicro" localSheetId="2">#REF!</definedName>
    <definedName name="sicro" localSheetId="9">#REF!</definedName>
    <definedName name="sicro">#REF!</definedName>
    <definedName name="SINALI" localSheetId="3">'[39]RESUMO-DVOP_JBS'!#REF!</definedName>
    <definedName name="SINALI" localSheetId="2">'[39]RESUMO-DVOP_JBS'!#REF!</definedName>
    <definedName name="SINALI">'[39]RESUMO-DVOP_JBS'!#REF!</definedName>
    <definedName name="SINAPI" localSheetId="3">#REF!</definedName>
    <definedName name="SINAPI" localSheetId="2">#REF!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3" hidden="1">{#N/A,#N/A,FALSE,"MO (2)"}</definedName>
    <definedName name="SS" localSheetId="2" hidden="1">{#N/A,#N/A,FALSE,"MO (2)"}</definedName>
    <definedName name="SS" hidden="1">{#N/A,#N/A,FALSE,"MO (2)"}</definedName>
    <definedName name="SSS" localSheetId="3" hidden="1">{#N/A,#N/A,FALSE,"MO (2)"}</definedName>
    <definedName name="SSS" localSheetId="2" hidden="1">{#N/A,#N/A,FALSE,"MO (2)"}</definedName>
    <definedName name="SSS" hidden="1">{#N/A,#N/A,FALSE,"MO (2)"}</definedName>
    <definedName name="ssssss" localSheetId="3" hidden="1">{#N/A,#N/A,FALSE,"MO (2)"}</definedName>
    <definedName name="ssssss" localSheetId="2" hidden="1">{#N/A,#N/A,FALSE,"MO (2)"}</definedName>
    <definedName name="ssssss" hidden="1">{#N/A,#N/A,FALSE,"MO (2)"}</definedName>
    <definedName name="SUBT">[13]DG!$B$12</definedName>
    <definedName name="subtrec" localSheetId="3">#REF!</definedName>
    <definedName name="subtrec" localSheetId="2">#REF!</definedName>
    <definedName name="subtrec">#REF!</definedName>
    <definedName name="subtrech" localSheetId="3">#REF!</definedName>
    <definedName name="subtrech" localSheetId="2">#REF!</definedName>
    <definedName name="subtrech">#REF!</definedName>
    <definedName name="SUBTRECHO">[21]PT!$B$5</definedName>
    <definedName name="t" localSheetId="3">#REF!</definedName>
    <definedName name="t" localSheetId="2">#REF!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3">[14]M.O.!#REF!</definedName>
    <definedName name="T.315" localSheetId="2">[14]M.O.!#REF!</definedName>
    <definedName name="T.315" localSheetId="9">[14]M.O.!#REF!</definedName>
    <definedName name="T.315">[14]M.O.!#REF!</definedName>
    <definedName name="T.401" localSheetId="3">#REF!</definedName>
    <definedName name="T.401" localSheetId="2">#REF!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3">#REF!</definedName>
    <definedName name="TB" localSheetId="2">#REF!</definedName>
    <definedName name="TB" localSheetId="9">#REF!</definedName>
    <definedName name="TB">#REF!</definedName>
    <definedName name="TCAP20RP" localSheetId="9">#REF!</definedName>
    <definedName name="TCAP20RP">#REF!</definedName>
    <definedName name="TCAP20RPMA" localSheetId="3">[13]ROSTO!#REF!</definedName>
    <definedName name="TCAP20RPMA" localSheetId="2">[13]ROSTO!#REF!</definedName>
    <definedName name="TCAP20RPMA" localSheetId="9">[13]ROSTO!#REF!</definedName>
    <definedName name="TCAP20RPMA">[13]ROSTO!#REF!</definedName>
    <definedName name="TCAP20RPTA" localSheetId="3">#REF!</definedName>
    <definedName name="TCAP20RPTA" localSheetId="2">#REF!</definedName>
    <definedName name="TCAP20RPTA" localSheetId="9">#REF!</definedName>
    <definedName name="TCAP20RPTA">#REF!</definedName>
    <definedName name="TCAPPA" localSheetId="9">#REF!</definedName>
    <definedName name="TCAPPA">#REF!</definedName>
    <definedName name="TCAPPAMA" localSheetId="3">[13]ROSTO!#REF!</definedName>
    <definedName name="TCAPPAMA" localSheetId="2">[13]ROSTO!#REF!</definedName>
    <definedName name="TCAPPAMA" localSheetId="9">[13]ROSTO!#REF!</definedName>
    <definedName name="TCAPPAMA">[13]ROSTO!#REF!</definedName>
    <definedName name="TCAPPATA" localSheetId="3">#REF!</definedName>
    <definedName name="TCAPPATA" localSheetId="2">#REF!</definedName>
    <definedName name="TCAPPATA" localSheetId="9">#REF!</definedName>
    <definedName name="TCAPPATA">#REF!</definedName>
    <definedName name="TCAPRS" localSheetId="9">#REF!</definedName>
    <definedName name="TCAPRS">#REF!</definedName>
    <definedName name="TCAPRSMA" localSheetId="3">[13]ROSTO!#REF!</definedName>
    <definedName name="TCAPRSMA" localSheetId="2">[13]ROSTO!#REF!</definedName>
    <definedName name="TCAPRSMA" localSheetId="9">[13]ROSTO!#REF!</definedName>
    <definedName name="TCAPRSMA">[13]ROSTO!#REF!</definedName>
    <definedName name="TCAPRSTA" localSheetId="3">#REF!</definedName>
    <definedName name="TCAPRSTA" localSheetId="2">#REF!</definedName>
    <definedName name="TCAPRSTA" localSheetId="9">#REF!</definedName>
    <definedName name="TCAPRSTA">#REF!</definedName>
    <definedName name="TCC4T" localSheetId="3">#REF!</definedName>
    <definedName name="TCC4T" localSheetId="2">#REF!</definedName>
    <definedName name="TCC4T">#REF!</definedName>
    <definedName name="TCM30RP" localSheetId="9">#REF!</definedName>
    <definedName name="TCM30RP">#REF!</definedName>
    <definedName name="TCM30RPMA" localSheetId="3">[13]ROSTO!#REF!</definedName>
    <definedName name="TCM30RPMA" localSheetId="2">[13]ROSTO!#REF!</definedName>
    <definedName name="TCM30RPMA" localSheetId="9">[13]ROSTO!#REF!</definedName>
    <definedName name="TCM30RPMA">[13]ROSTO!#REF!</definedName>
    <definedName name="TCM30RPTA" localSheetId="3">#REF!</definedName>
    <definedName name="TCM30RPTA" localSheetId="2">#REF!</definedName>
    <definedName name="TCM30RPTA" localSheetId="9">#REF!</definedName>
    <definedName name="TCM30RPTA">#REF!</definedName>
    <definedName name="TEA" localSheetId="3">#REF!</definedName>
    <definedName name="TEA" localSheetId="2">#REF!</definedName>
    <definedName name="TEA">#REF!</definedName>
    <definedName name="TEMUL_ASF" localSheetId="9">#REF!</definedName>
    <definedName name="TEMUL_ASF">#REF!</definedName>
    <definedName name="TEMUL_ASF_MA" localSheetId="3">[13]ROSTO!#REF!</definedName>
    <definedName name="TEMUL_ASF_MA" localSheetId="2">[13]ROSTO!#REF!</definedName>
    <definedName name="TEMUL_ASF_MA" localSheetId="9">[13]ROSTO!#REF!</definedName>
    <definedName name="TEMUL_ASF_MA">[13]ROSTO!#REF!</definedName>
    <definedName name="TEMUL_ASF_TA" localSheetId="3">#REF!</definedName>
    <definedName name="TEMUL_ASF_TA" localSheetId="2">#REF!</definedName>
    <definedName name="TEMUL_ASF_TA" localSheetId="9">#REF!</definedName>
    <definedName name="TEMUL_ASF_TA">#REF!</definedName>
    <definedName name="TEOR">'[40]QUADROS 1 2 3 4 6 7 8'!$J$56</definedName>
    <definedName name="teor2">[40]Cálculo!$D$6</definedName>
    <definedName name="TEP" localSheetId="3">#REF!</definedName>
    <definedName name="TEP" localSheetId="2">#REF!</definedName>
    <definedName name="TEP" localSheetId="9">#REF!</definedName>
    <definedName name="TEP">#REF!</definedName>
    <definedName name="TEPMA" localSheetId="3">[13]ROSTO!#REF!</definedName>
    <definedName name="TEPMA" localSheetId="2">[13]ROSTO!#REF!</definedName>
    <definedName name="TEPMA" localSheetId="9">[13]ROSTO!#REF!</definedName>
    <definedName name="TEPMA">[13]ROSTO!#REF!</definedName>
    <definedName name="TEPTA" localSheetId="3">#REF!</definedName>
    <definedName name="TEPTA" localSheetId="2">#REF!</definedName>
    <definedName name="TEPTA" localSheetId="9">#REF!</definedName>
    <definedName name="TEPTA">#REF!</definedName>
    <definedName name="TERRA" localSheetId="3">#REF!</definedName>
    <definedName name="TERRA" localSheetId="2">#REF!</definedName>
    <definedName name="TERRA">#REF!</definedName>
    <definedName name="Terra2">#REF!</definedName>
    <definedName name="teste">#REF!</definedName>
    <definedName name="teste2">#REF!</definedName>
    <definedName name="tmat" localSheetId="3">[41]PLANILHA!#REF!</definedName>
    <definedName name="tmat" localSheetId="2">[41]PLANILHA!#REF!</definedName>
    <definedName name="tmat">[41]PLANILHA!#REF!</definedName>
    <definedName name="TOTAL" localSheetId="3">#REF!</definedName>
    <definedName name="TOTAL" localSheetId="2">#REF!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3">'[42]PLANILHA ATUALIZADA'!#REF!</definedName>
    <definedName name="TOTALA" localSheetId="2">'[42]PLANILHA ATUALIZADA'!#REF!</definedName>
    <definedName name="TOTALA" localSheetId="9">'[42]PLANILHA ATUALIZADA'!#REF!</definedName>
    <definedName name="TOTALA">'[42]PLANILHA ATUALIZADA'!#REF!</definedName>
    <definedName name="TOTALB" localSheetId="3">'[42]PLANILHA ATUALIZADA'!#REF!</definedName>
    <definedName name="TOTALB" localSheetId="2">'[42]PLANILHA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3">#REF!</definedName>
    <definedName name="transporte" localSheetId="2">#REF!</definedName>
    <definedName name="transporte" localSheetId="9">#REF!</definedName>
    <definedName name="transporte">#REF!</definedName>
    <definedName name="TRB" localSheetId="9">#REF!</definedName>
    <definedName name="TRB">#REF!</definedName>
    <definedName name="TRBMA" localSheetId="3">[13]ROSTO!#REF!</definedName>
    <definedName name="TRBMA" localSheetId="2">[13]ROSTO!#REF!</definedName>
    <definedName name="TRBMA" localSheetId="9">[13]ROSTO!#REF!</definedName>
    <definedName name="TRBMA">[13]ROSTO!#REF!</definedName>
    <definedName name="TRBTA" localSheetId="3">#REF!</definedName>
    <definedName name="TRBTA" localSheetId="2">#REF!</definedName>
    <definedName name="TRBTA" localSheetId="9">#REF!</definedName>
    <definedName name="TRBTA">#REF!</definedName>
    <definedName name="trec" localSheetId="3">#REF!</definedName>
    <definedName name="trec" localSheetId="2">#REF!</definedName>
    <definedName name="TREC" localSheetId="9">[13]DG!$B$11</definedName>
    <definedName name="trec">#REF!</definedName>
    <definedName name="trech" localSheetId="3">#REF!</definedName>
    <definedName name="trech" localSheetId="2">#REF!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3">#REF!</definedName>
    <definedName name="TRECHOA" localSheetId="2">#REF!</definedName>
    <definedName name="TRECHOA">#REF!</definedName>
    <definedName name="TRL1C" localSheetId="3">#REF!</definedName>
    <definedName name="TRL1C" localSheetId="2">#REF!</definedName>
    <definedName name="TRL1C" localSheetId="9">#REF!</definedName>
    <definedName name="TRL1C">#REF!</definedName>
    <definedName name="TRL1CMA" localSheetId="3">[13]ROSTO!#REF!</definedName>
    <definedName name="TRL1CMA" localSheetId="2">[13]ROSTO!#REF!</definedName>
    <definedName name="TRL1CMA" localSheetId="9">[13]ROSTO!#REF!</definedName>
    <definedName name="TRL1CMA">[13]ROSTO!#REF!</definedName>
    <definedName name="TRL1CTA" localSheetId="3">#REF!</definedName>
    <definedName name="TRL1CTA" localSheetId="2">#REF!</definedName>
    <definedName name="TRL1CTA" localSheetId="9">#REF!</definedName>
    <definedName name="TRL1CTA">#REF!</definedName>
    <definedName name="TRR1CPA" localSheetId="9">#REF!</definedName>
    <definedName name="TRR1CPA">#REF!</definedName>
    <definedName name="TRR1CPAMA" localSheetId="3">[13]ROSTO!#REF!</definedName>
    <definedName name="TRR1CPAMA" localSheetId="2">[13]ROSTO!#REF!</definedName>
    <definedName name="TRR1CPAMA" localSheetId="9">[13]ROSTO!#REF!</definedName>
    <definedName name="TRR1CPAMA">[13]ROSTO!#REF!</definedName>
    <definedName name="TRR1CPATA" localSheetId="3">#REF!</definedName>
    <definedName name="TRR1CPATA" localSheetId="2">#REF!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3">[13]ROSTO!#REF!</definedName>
    <definedName name="TRR1CRSFRESAMA" localSheetId="2">[13]ROSTO!#REF!</definedName>
    <definedName name="TRR1CRSFRESAMA" localSheetId="9">[13]ROSTO!#REF!</definedName>
    <definedName name="TRR1CRSFRESAMA">[13]ROSTO!#REF!</definedName>
    <definedName name="TRR1CRSFRESATA" localSheetId="3">#REF!</definedName>
    <definedName name="TRR1CRSFRESATA" localSheetId="2">#REF!</definedName>
    <definedName name="TRR1CRSFRESATA" localSheetId="9">#REF!</definedName>
    <definedName name="TRR1CRSFRESATA">#REF!</definedName>
    <definedName name="TRR1CRSMA" localSheetId="3">[13]ROSTO!#REF!</definedName>
    <definedName name="TRR1CRSMA" localSheetId="2">[13]ROSTO!#REF!</definedName>
    <definedName name="TRR1CRSMA" localSheetId="9">[13]ROSTO!#REF!</definedName>
    <definedName name="TRR1CRSMA">[13]ROSTO!#REF!</definedName>
    <definedName name="TRR1CRSTA" localSheetId="3">#REF!</definedName>
    <definedName name="TRR1CRSTA" localSheetId="2">#REF!</definedName>
    <definedName name="TRR1CRSTA" localSheetId="9">#REF!</definedName>
    <definedName name="TRR1CRSTA">#REF!</definedName>
    <definedName name="ts" localSheetId="3">[41]PLANILHA!#REF!</definedName>
    <definedName name="ts" localSheetId="2">[41]PLANILHA!#REF!</definedName>
    <definedName name="ts">[41]PLANILHA!#REF!</definedName>
    <definedName name="TSD" localSheetId="3">[20]PATO!#REF!</definedName>
    <definedName name="TSD" localSheetId="2">[20]PATO!#REF!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3">[41]PLANILHA!#REF!</definedName>
    <definedName name="ttra" localSheetId="2">[41]PLANILHA!#REF!</definedName>
    <definedName name="ttra">[41]PLANILHA!#REF!</definedName>
    <definedName name="tttt" localSheetId="3" hidden="1">{#N/A,#N/A,FALSE,"MO (2)"}</definedName>
    <definedName name="tttt" localSheetId="2" hidden="1">{#N/A,#N/A,FALSE,"MO (2)"}</definedName>
    <definedName name="tttt" hidden="1">{#N/A,#N/A,FALSE,"MO (2)"}</definedName>
    <definedName name="TUBO" localSheetId="3">#REF!</definedName>
    <definedName name="TUBO" localSheetId="2">#REF!</definedName>
    <definedName name="TUBO">#REF!</definedName>
    <definedName name="TUBOA" localSheetId="3">#REF!</definedName>
    <definedName name="TUBOA" localSheetId="2">#REF!</definedName>
    <definedName name="TUBOA">#REF!</definedName>
    <definedName name="TUNNELLINER">'[16]QUADRO 08 - COMPOSIÇÕES'!$H$569</definedName>
    <definedName name="U" localSheetId="3">'[22]CR LOTE 02'!#REF!</definedName>
    <definedName name="U" localSheetId="2">'[22]CR LOTE 02'!#REF!</definedName>
    <definedName name="U" localSheetId="9">'[22]CR LOTE 02'!#REF!</definedName>
    <definedName name="U">'[22]CR LOTE 02'!#REF!</definedName>
    <definedName name="UNIT" localSheetId="3">#REF!</definedName>
    <definedName name="UNIT" localSheetId="2">#REF!</definedName>
    <definedName name="UNIT" localSheetId="9">#REF!</definedName>
    <definedName name="UNIT">#REF!</definedName>
    <definedName name="Usinagem" localSheetId="3" hidden="1">{#N/A,#N/A,FALSE,"MO (2)"}</definedName>
    <definedName name="Usinagem" localSheetId="2" hidden="1">{#N/A,#N/A,FALSE,"MO (2)"}</definedName>
    <definedName name="Usinagem" hidden="1">{#N/A,#N/A,FALSE,"MO (2)"}</definedName>
    <definedName name="V" localSheetId="3">#REF!</definedName>
    <definedName name="V" localSheetId="2">#REF!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3">[13]ROSTO!#REF!</definedName>
    <definedName name="VLM" localSheetId="2">[13]ROSTO!#REF!</definedName>
    <definedName name="VLM" localSheetId="9">[13]ROSTO!#REF!</definedName>
    <definedName name="VLM">[13]ROSTO!#REF!</definedName>
    <definedName name="vm" localSheetId="3" hidden="1">{#N/A,#N/A,FALSE,"MO (2)"}</definedName>
    <definedName name="vm" localSheetId="2" hidden="1">{#N/A,#N/A,FALSE,"MO (2)"}</definedName>
    <definedName name="vm" hidden="1">{#N/A,#N/A,FALSE,"MO (2)"}</definedName>
    <definedName name="VP_TVE" localSheetId="3">#REF!</definedName>
    <definedName name="VP_TVE" localSheetId="2">#REF!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3" hidden="1">{#N/A,#N/A,FALSE,"MO (2)"}</definedName>
    <definedName name="vvv" localSheetId="2" hidden="1">{#N/A,#N/A,FALSE,"MO (2)"}</definedName>
    <definedName name="vvv" hidden="1">{#N/A,#N/A,FALSE,"MO (2)"}</definedName>
    <definedName name="w" localSheetId="3">#REF!</definedName>
    <definedName name="w" localSheetId="2">#REF!</definedName>
    <definedName name="w" localSheetId="9">#REF!</definedName>
    <definedName name="w">#REF!</definedName>
    <definedName name="wewewew" localSheetId="3" hidden="1">{#N/A,#N/A,FALSE,"MO (2)"}</definedName>
    <definedName name="wewewew" localSheetId="2" hidden="1">{#N/A,#N/A,FALSE,"MO (2)"}</definedName>
    <definedName name="wewewew" hidden="1">{#N/A,#N/A,FALSE,"MO (2)"}</definedName>
    <definedName name="wrn.mo2." localSheetId="3" hidden="1">{#N/A,#N/A,FALSE,"MO (2)"}</definedName>
    <definedName name="wrn.mo2." localSheetId="2" hidden="1">{#N/A,#N/A,FALSE,"MO (2)"}</definedName>
    <definedName name="wrn.mo2." hidden="1">{#N/A,#N/A,FALSE,"MO (2)"}</definedName>
    <definedName name="wwwww" localSheetId="3" hidden="1">{#N/A,#N/A,FALSE,"MO (2)"}</definedName>
    <definedName name="wwwww" localSheetId="2" hidden="1">{#N/A,#N/A,FALSE,"MO (2)"}</definedName>
    <definedName name="wwwww" hidden="1">{#N/A,#N/A,FALSE,"MO (2)"}</definedName>
    <definedName name="wwwwww" localSheetId="3" hidden="1">{#N/A,#N/A,FALSE,"MO (2)"}</definedName>
    <definedName name="wwwwww" localSheetId="2" hidden="1">{#N/A,#N/A,FALSE,"MO (2)"}</definedName>
    <definedName name="wwwwww" hidden="1">{#N/A,#N/A,FALSE,"MO (2)"}</definedName>
    <definedName name="x" localSheetId="3">#REF!</definedName>
    <definedName name="x" localSheetId="2">#REF!</definedName>
    <definedName name="x" localSheetId="9">#REF!</definedName>
    <definedName name="x">#REF!</definedName>
    <definedName name="xxxxx" localSheetId="3" hidden="1">{#N/A,#N/A,FALSE,"MO (2)"}</definedName>
    <definedName name="xxxxx" localSheetId="2" hidden="1">{#N/A,#N/A,FALSE,"MO (2)"}</definedName>
    <definedName name="xxxxx" hidden="1">{#N/A,#N/A,FALSE,"MO (2)"}</definedName>
    <definedName name="y" localSheetId="3">#REF!</definedName>
    <definedName name="y" localSheetId="2">#REF!</definedName>
    <definedName name="y" localSheetId="9">#REF!</definedName>
    <definedName name="y">#REF!</definedName>
    <definedName name="z" localSheetId="3" hidden="1">{#N/A,#N/A,FALSE,"MO (2)"}</definedName>
    <definedName name="z" localSheetId="2" hidden="1">{#N/A,#N/A,FALSE,"MO (2)"}</definedName>
    <definedName name="z" localSheetId="9">#REF!</definedName>
    <definedName name="z" hidden="1">{#N/A,#N/A,FALSE,"MO (2)"}</definedName>
    <definedName name="zaza" localSheetId="3" hidden="1">{#N/A,#N/A,FALSE,"MO (2)"}</definedName>
    <definedName name="zaza" localSheetId="2" hidden="1">{#N/A,#N/A,FALSE,"MO (2)"}</definedName>
    <definedName name="zaza" hidden="1">{#N/A,#N/A,FALSE,"MO (2)"}</definedName>
    <definedName name="ZZ">[3]MARSHALL!$B$14:$D$14</definedName>
    <definedName name="zzzzz" localSheetId="3" hidden="1">{#N/A,#N/A,FALSE,"MO (2)"}</definedName>
    <definedName name="zzzzz" localSheetId="2"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6" i="1" l="1"/>
  <c r="I57" i="1"/>
  <c r="I44" i="1"/>
  <c r="I36" i="1"/>
  <c r="I29" i="1"/>
  <c r="H43" i="5"/>
  <c r="H42" i="5"/>
  <c r="H41" i="5"/>
  <c r="H40" i="5"/>
  <c r="H39" i="5"/>
  <c r="H38" i="5"/>
  <c r="H37" i="5"/>
  <c r="H36" i="5"/>
  <c r="H29" i="5"/>
  <c r="H28" i="5"/>
  <c r="H27" i="5"/>
  <c r="H30" i="5"/>
  <c r="H26" i="5"/>
  <c r="H44" i="5" l="1"/>
  <c r="I50" i="1" s="1"/>
  <c r="I60" i="1" s="1"/>
  <c r="H23" i="5"/>
  <c r="H25" i="5"/>
  <c r="H24" i="5"/>
  <c r="I104" i="1"/>
  <c r="I105" i="1" s="1"/>
  <c r="I89" i="1"/>
  <c r="I63" i="1"/>
  <c r="I83" i="1"/>
  <c r="I96" i="1" s="1"/>
  <c r="A63" i="7"/>
  <c r="B30" i="14"/>
  <c r="B19" i="15"/>
  <c r="H31" i="5" l="1"/>
  <c r="I23" i="1" s="1"/>
  <c r="H154" i="5"/>
  <c r="H152" i="5"/>
  <c r="H151" i="5"/>
  <c r="H150" i="5"/>
  <c r="H149" i="5"/>
  <c r="H148" i="5"/>
  <c r="H147" i="5"/>
  <c r="H185" i="5"/>
  <c r="H184" i="5"/>
  <c r="H183" i="5"/>
  <c r="H182" i="5"/>
  <c r="H181" i="5"/>
  <c r="H180" i="5"/>
  <c r="H179" i="5"/>
  <c r="H173" i="5"/>
  <c r="H172" i="5"/>
  <c r="H171" i="5"/>
  <c r="H170" i="5"/>
  <c r="H77" i="5"/>
  <c r="H76" i="5"/>
  <c r="H70" i="5"/>
  <c r="H69" i="5"/>
  <c r="H68" i="5"/>
  <c r="H62" i="5"/>
  <c r="H61" i="5"/>
  <c r="H60" i="5"/>
  <c r="H59" i="5"/>
  <c r="H58" i="5"/>
  <c r="H52" i="5"/>
  <c r="H51" i="5"/>
  <c r="H50" i="5"/>
  <c r="H49" i="5"/>
  <c r="H163" i="5"/>
  <c r="H162" i="5"/>
  <c r="H161" i="5"/>
  <c r="H164" i="5"/>
  <c r="H128" i="5"/>
  <c r="H127" i="5"/>
  <c r="H126" i="5"/>
  <c r="H125" i="5"/>
  <c r="H124" i="5"/>
  <c r="H123" i="5"/>
  <c r="H17" i="5"/>
  <c r="H11" i="5"/>
  <c r="H10" i="5"/>
  <c r="H95" i="5"/>
  <c r="H94" i="5"/>
  <c r="H93" i="5"/>
  <c r="H92" i="5"/>
  <c r="H91" i="5"/>
  <c r="H90" i="5"/>
  <c r="H89" i="5"/>
  <c r="H88" i="5"/>
  <c r="H87" i="5"/>
  <c r="H86" i="5"/>
  <c r="H85" i="5"/>
  <c r="H84" i="5"/>
  <c r="H83" i="5"/>
  <c r="H141" i="5"/>
  <c r="H111" i="5"/>
  <c r="H110" i="5"/>
  <c r="H109" i="5"/>
  <c r="H108" i="5"/>
  <c r="H107" i="5"/>
  <c r="H106" i="5"/>
  <c r="H105" i="5"/>
  <c r="H104" i="5"/>
  <c r="H103" i="5"/>
  <c r="H102" i="5"/>
  <c r="H101" i="5"/>
  <c r="H191" i="5"/>
  <c r="H192" i="5" s="1"/>
  <c r="I24" i="1" s="1"/>
  <c r="H47" i="1"/>
  <c r="I36" i="7"/>
  <c r="I7" i="7"/>
  <c r="I37" i="1" l="1"/>
  <c r="I30" i="1"/>
  <c r="I38" i="1"/>
  <c r="I68" i="1" s="1"/>
  <c r="I31" i="1"/>
  <c r="I39" i="15"/>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3" i="14"/>
  <c r="F1" i="15" s="1"/>
  <c r="B48" i="14"/>
  <c r="B37" i="15" s="1"/>
  <c r="B45" i="14"/>
  <c r="B34" i="15" s="1"/>
  <c r="B42" i="14"/>
  <c r="B31" i="15" s="1"/>
  <c r="B39" i="14"/>
  <c r="B28" i="15" s="1"/>
  <c r="B27" i="14"/>
  <c r="B16" i="15" s="1"/>
  <c r="B24" i="14"/>
  <c r="B13" i="15" s="1"/>
  <c r="B21" i="14"/>
  <c r="B10" i="15" s="1"/>
  <c r="B18" i="14"/>
  <c r="B7" i="15" s="1"/>
  <c r="AP39" i="15" l="1"/>
  <c r="AP36" i="15"/>
  <c r="G48" i="1" l="1"/>
  <c r="G99" i="1"/>
  <c r="G20" i="1"/>
  <c r="G21" i="1" l="1"/>
  <c r="G51" i="1" l="1"/>
  <c r="G49" i="1"/>
  <c r="G50" i="1"/>
  <c r="G23" i="1"/>
  <c r="H36" i="7" l="1"/>
  <c r="E20" i="11"/>
  <c r="E17" i="11"/>
  <c r="E26" i="11" s="1"/>
  <c r="K27" i="11" s="1"/>
  <c r="K9" i="1" s="1"/>
  <c r="J58" i="1" s="1"/>
  <c r="E11" i="11"/>
  <c r="E20" i="10"/>
  <c r="E17" i="10"/>
  <c r="E26" i="10" s="1"/>
  <c r="K8" i="1" s="1"/>
  <c r="E11" i="10"/>
  <c r="J99" i="1" l="1"/>
  <c r="J36" i="7"/>
  <c r="J37" i="7" s="1"/>
  <c r="G53" i="1" s="1"/>
  <c r="G52" i="1"/>
  <c r="J53" i="1"/>
  <c r="J49" i="1"/>
  <c r="K49" i="1" s="1"/>
  <c r="J48" i="1"/>
  <c r="K48" i="1" s="1"/>
  <c r="G100" i="1"/>
  <c r="K53" i="1" l="1"/>
  <c r="H186" i="5"/>
  <c r="I100" i="1" s="1"/>
  <c r="G109" i="1"/>
  <c r="H174" i="5"/>
  <c r="I94" i="1" s="1"/>
  <c r="N32" i="3"/>
  <c r="N33" i="3"/>
  <c r="N31" i="3"/>
  <c r="N30" i="3"/>
  <c r="G103" i="1" l="1"/>
  <c r="M13" i="3"/>
  <c r="L13" i="3" s="1"/>
  <c r="M16" i="3"/>
  <c r="L16" i="3" s="1"/>
  <c r="K13" i="3"/>
  <c r="K17" i="3" s="1"/>
  <c r="G88" i="1" s="1"/>
  <c r="G92" i="1"/>
  <c r="M14" i="3"/>
  <c r="L14" i="3" s="1"/>
  <c r="M15" i="3"/>
  <c r="G93" i="1" l="1"/>
  <c r="G104" i="1"/>
  <c r="M17" i="3"/>
  <c r="L15" i="3"/>
  <c r="L17" i="3" s="1"/>
  <c r="G86" i="1" s="1"/>
  <c r="D34" i="3"/>
  <c r="G106" i="1" l="1"/>
  <c r="G105" i="1"/>
  <c r="H102" i="7"/>
  <c r="J102" i="7" s="1"/>
  <c r="G87" i="1"/>
  <c r="G95" i="1"/>
  <c r="G94" i="1"/>
  <c r="G91" i="1"/>
  <c r="G90" i="1"/>
  <c r="D35" i="3"/>
  <c r="H101" i="7" l="1"/>
  <c r="J101" i="7" s="1"/>
  <c r="J103" i="7" s="1"/>
  <c r="G96" i="1" s="1"/>
  <c r="G89" i="1"/>
  <c r="H165" i="5" l="1"/>
  <c r="C28" i="3"/>
  <c r="I12" i="3"/>
  <c r="I11" i="3"/>
  <c r="N28" i="3"/>
  <c r="J12" i="3" s="1"/>
  <c r="N27" i="3"/>
  <c r="J11" i="3" s="1"/>
  <c r="N26" i="3"/>
  <c r="J10" i="3" s="1"/>
  <c r="N25" i="3"/>
  <c r="J9" i="3" s="1"/>
  <c r="C26" i="3"/>
  <c r="G82" i="1" s="1"/>
  <c r="I87" i="1" l="1"/>
  <c r="I73" i="1"/>
  <c r="J17" i="3"/>
  <c r="H95" i="7" l="1"/>
  <c r="J95" i="7" s="1"/>
  <c r="G73" i="1"/>
  <c r="F153" i="5" l="1"/>
  <c r="H153" i="5" s="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F140" i="5"/>
  <c r="H140" i="5" s="1"/>
  <c r="F139" i="5"/>
  <c r="H139" i="5" s="1"/>
  <c r="F138" i="5"/>
  <c r="H138" i="5" s="1"/>
  <c r="F137" i="5"/>
  <c r="H137" i="5" s="1"/>
  <c r="F136" i="5"/>
  <c r="H136" i="5" s="1"/>
  <c r="F135" i="5"/>
  <c r="H135" i="5" s="1"/>
  <c r="K98" i="1" l="1"/>
  <c r="C43" i="14" s="1"/>
  <c r="E31" i="15" s="1"/>
  <c r="K102" i="1"/>
  <c r="C46" i="14" s="1"/>
  <c r="E34" i="15" s="1"/>
  <c r="J79" i="1"/>
  <c r="J81" i="1"/>
  <c r="J80" i="1"/>
  <c r="H155" i="5"/>
  <c r="I109" i="1" s="1"/>
  <c r="H142" i="5"/>
  <c r="I34" i="1" s="1"/>
  <c r="J34" i="1" s="1"/>
  <c r="H129" i="5"/>
  <c r="I67" i="1" s="1"/>
  <c r="J67" i="1" s="1"/>
  <c r="R65" i="8"/>
  <c r="AG34" i="15" l="1"/>
  <c r="AM34" i="15"/>
  <c r="O34" i="15"/>
  <c r="AJ34" i="15"/>
  <c r="X34" i="15"/>
  <c r="I34" i="15"/>
  <c r="U34" i="15"/>
  <c r="AA34" i="15"/>
  <c r="L34" i="15"/>
  <c r="F34" i="15"/>
  <c r="AD34" i="15"/>
  <c r="R34" i="15"/>
  <c r="R31" i="15"/>
  <c r="I31" i="15"/>
  <c r="U31" i="15"/>
  <c r="O31" i="15"/>
  <c r="L31" i="15"/>
  <c r="J36" i="1"/>
  <c r="J96" i="1"/>
  <c r="K96" i="1" s="1"/>
  <c r="J83" i="1"/>
  <c r="J109" i="1"/>
  <c r="K109" i="1" s="1"/>
  <c r="J31" i="1"/>
  <c r="J68" i="1"/>
  <c r="J29" i="1"/>
  <c r="J38" i="1"/>
  <c r="B25" i="7"/>
  <c r="B3" i="7"/>
  <c r="H112" i="5"/>
  <c r="I27" i="1" s="1"/>
  <c r="J27" i="1" s="1"/>
  <c r="K108" i="1" l="1"/>
  <c r="C49" i="14" s="1"/>
  <c r="E37" i="15" s="1"/>
  <c r="J44" i="1"/>
  <c r="AP31" i="15"/>
  <c r="AQ31" i="15" s="1"/>
  <c r="AP34" i="15"/>
  <c r="AQ34" i="15" s="1"/>
  <c r="J24" i="1"/>
  <c r="J22" i="1"/>
  <c r="L142" i="8"/>
  <c r="L163" i="8"/>
  <c r="L164" i="8"/>
  <c r="L158" i="8"/>
  <c r="L159" i="8"/>
  <c r="L154" i="8"/>
  <c r="L156" i="8" s="1"/>
  <c r="L144" i="8"/>
  <c r="L147" i="8" s="1"/>
  <c r="L100" i="8"/>
  <c r="L106" i="8" s="1"/>
  <c r="L109" i="8" s="1"/>
  <c r="L110" i="8" s="1"/>
  <c r="L132" i="8" s="1"/>
  <c r="G27" i="1"/>
  <c r="J37" i="1"/>
  <c r="L120" i="8"/>
  <c r="H117" i="5"/>
  <c r="H118" i="5" s="1"/>
  <c r="I21" i="1" s="1"/>
  <c r="L76" i="8"/>
  <c r="L77" i="8"/>
  <c r="L78" i="8"/>
  <c r="L79" i="8"/>
  <c r="L71" i="8"/>
  <c r="L72" i="8"/>
  <c r="L74" i="8" s="1"/>
  <c r="L64" i="8"/>
  <c r="L65" i="8"/>
  <c r="L66" i="8"/>
  <c r="L67" i="8"/>
  <c r="L53" i="8"/>
  <c r="L54" i="8"/>
  <c r="L51" i="8"/>
  <c r="L8" i="8"/>
  <c r="L14" i="8" s="1"/>
  <c r="L17" i="8" s="1"/>
  <c r="L18" i="8" s="1"/>
  <c r="L40" i="8" s="1"/>
  <c r="L28" i="8"/>
  <c r="A28" i="7"/>
  <c r="G67" i="1"/>
  <c r="G43" i="1"/>
  <c r="H18" i="7"/>
  <c r="J18" i="7" s="1"/>
  <c r="G42" i="1"/>
  <c r="U18" i="6"/>
  <c r="U22" i="6" s="1"/>
  <c r="U15" i="6" s="1"/>
  <c r="U16" i="6" s="1"/>
  <c r="U23" i="6" s="1"/>
  <c r="U24" i="6" s="1"/>
  <c r="G66" i="1"/>
  <c r="H71" i="5"/>
  <c r="H18" i="5"/>
  <c r="I52" i="1" s="1"/>
  <c r="J52" i="1" s="1"/>
  <c r="K52" i="1" s="1"/>
  <c r="J59" i="1"/>
  <c r="U26" i="6"/>
  <c r="U27" i="6"/>
  <c r="U28" i="6"/>
  <c r="U29" i="6"/>
  <c r="U30" i="6"/>
  <c r="U35" i="6"/>
  <c r="U36" i="6"/>
  <c r="M37" i="6"/>
  <c r="U37" i="6" s="1"/>
  <c r="M38" i="6"/>
  <c r="U38" i="6" s="1"/>
  <c r="H9" i="3"/>
  <c r="I9" i="3" s="1"/>
  <c r="H10" i="3"/>
  <c r="I10" i="3" s="1"/>
  <c r="D22" i="3"/>
  <c r="D26" i="3"/>
  <c r="N17" i="3"/>
  <c r="B33" i="14"/>
  <c r="B22" i="15" s="1"/>
  <c r="AD37" i="15" l="1"/>
  <c r="O37" i="15"/>
  <c r="X37" i="15"/>
  <c r="F37" i="15"/>
  <c r="I37" i="15"/>
  <c r="AJ37" i="15"/>
  <c r="AM37" i="15"/>
  <c r="R37" i="15"/>
  <c r="AG37" i="15"/>
  <c r="AA37" i="15"/>
  <c r="L37" i="15"/>
  <c r="U37" i="15"/>
  <c r="U32" i="6"/>
  <c r="U41" i="6" s="1"/>
  <c r="U42" i="6" s="1"/>
  <c r="U43" i="6" s="1"/>
  <c r="I92" i="1" s="1"/>
  <c r="J92" i="1" s="1"/>
  <c r="K92" i="1" s="1"/>
  <c r="B36" i="14"/>
  <c r="B25" i="15" s="1"/>
  <c r="L166" i="8"/>
  <c r="L57" i="8"/>
  <c r="L58" i="8" s="1"/>
  <c r="L59" i="8" s="1"/>
  <c r="U39" i="6"/>
  <c r="L69" i="8"/>
  <c r="L81" i="8"/>
  <c r="L148" i="8"/>
  <c r="L149" i="8" s="1"/>
  <c r="L173" i="8" s="1"/>
  <c r="L161" i="8"/>
  <c r="G57" i="1"/>
  <c r="G60" i="1"/>
  <c r="N150" i="8"/>
  <c r="L90" i="8"/>
  <c r="I77" i="1"/>
  <c r="J77" i="1" s="1"/>
  <c r="I90" i="1"/>
  <c r="J90" i="1" s="1"/>
  <c r="K90" i="1" s="1"/>
  <c r="J86" i="1"/>
  <c r="K86" i="1" s="1"/>
  <c r="J72" i="1"/>
  <c r="J89" i="1"/>
  <c r="K89" i="1" s="1"/>
  <c r="J76" i="1"/>
  <c r="G28" i="1"/>
  <c r="I62" i="1"/>
  <c r="J62" i="1" s="1"/>
  <c r="H17" i="7"/>
  <c r="H51" i="7"/>
  <c r="J51" i="7" s="1"/>
  <c r="N11" i="3"/>
  <c r="H12" i="5"/>
  <c r="H67" i="7"/>
  <c r="J67" i="7" s="1"/>
  <c r="H66" i="7"/>
  <c r="J66" i="7" s="1"/>
  <c r="H7" i="7"/>
  <c r="N9" i="3"/>
  <c r="K67" i="1"/>
  <c r="C25" i="3"/>
  <c r="C24" i="3"/>
  <c r="C23" i="3"/>
  <c r="N12" i="3"/>
  <c r="N10" i="3"/>
  <c r="H63" i="5"/>
  <c r="I75" i="1" s="1"/>
  <c r="J75" i="1" s="1"/>
  <c r="H53" i="5"/>
  <c r="H78" i="5"/>
  <c r="H96" i="5"/>
  <c r="I42" i="1" s="1"/>
  <c r="J50" i="1" s="1"/>
  <c r="K50" i="1" s="1"/>
  <c r="J63" i="1"/>
  <c r="K27" i="1"/>
  <c r="I35" i="1"/>
  <c r="J35" i="1" s="1"/>
  <c r="I28" i="1"/>
  <c r="J30" i="1"/>
  <c r="H44" i="7"/>
  <c r="J44" i="7" s="1"/>
  <c r="H60" i="7"/>
  <c r="G34" i="1"/>
  <c r="AP37" i="15" l="1"/>
  <c r="AQ37" i="15" s="1"/>
  <c r="I61" i="1"/>
  <c r="J61" i="1" s="1"/>
  <c r="I51" i="1"/>
  <c r="J51" i="1" s="1"/>
  <c r="K51" i="1" s="1"/>
  <c r="K59" i="1"/>
  <c r="G59" i="1"/>
  <c r="G58" i="1"/>
  <c r="H28" i="7"/>
  <c r="J60" i="7"/>
  <c r="J61" i="7" s="1"/>
  <c r="H76" i="7"/>
  <c r="J76" i="7" s="1"/>
  <c r="J77" i="7" s="1"/>
  <c r="J17" i="7"/>
  <c r="J19" i="7" s="1"/>
  <c r="J7" i="7"/>
  <c r="J8" i="7" s="1"/>
  <c r="J45" i="7"/>
  <c r="G22" i="1"/>
  <c r="H50" i="7"/>
  <c r="I91" i="1"/>
  <c r="J91" i="1" s="1"/>
  <c r="K91" i="1" s="1"/>
  <c r="I78" i="1"/>
  <c r="J78" i="1" s="1"/>
  <c r="I88" i="1"/>
  <c r="J88" i="1" s="1"/>
  <c r="K88" i="1" s="1"/>
  <c r="I74" i="1"/>
  <c r="J74" i="1" s="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G63" i="1" s="1"/>
  <c r="G62" i="1"/>
  <c r="K47" i="1"/>
  <c r="K30" i="1"/>
  <c r="G30" i="1"/>
  <c r="K44" i="1"/>
  <c r="K41" i="1" s="1"/>
  <c r="G44" i="1"/>
  <c r="K31" i="1"/>
  <c r="G31" i="1"/>
  <c r="K80" i="1"/>
  <c r="G80" i="1"/>
  <c r="K61" i="1"/>
  <c r="G61" i="1"/>
  <c r="K36" i="1"/>
  <c r="G36" i="1"/>
  <c r="K29" i="1"/>
  <c r="G29" i="1"/>
  <c r="K79" i="1"/>
  <c r="G79" i="1"/>
  <c r="K81" i="1"/>
  <c r="G81" i="1"/>
  <c r="K68" i="1"/>
  <c r="G68" i="1"/>
  <c r="J50" i="7"/>
  <c r="J52" i="7" s="1"/>
  <c r="K85" i="1"/>
  <c r="K22" i="1"/>
  <c r="D29" i="3"/>
  <c r="J20" i="1"/>
  <c r="K20" i="1" s="1"/>
  <c r="H83" i="7"/>
  <c r="J83" i="7" s="1"/>
  <c r="H82" i="7"/>
  <c r="J82" i="7" s="1"/>
  <c r="D31" i="3"/>
  <c r="K62" i="1" l="1"/>
  <c r="K63" i="1"/>
  <c r="C30" i="14"/>
  <c r="E19" i="15"/>
  <c r="K65" i="1"/>
  <c r="C37" i="14" s="1"/>
  <c r="E25" i="15" s="1"/>
  <c r="K26" i="1"/>
  <c r="C21" i="14" s="1"/>
  <c r="E10" i="15" s="1"/>
  <c r="C28" i="14"/>
  <c r="E16" i="15" s="1"/>
  <c r="K37" i="1"/>
  <c r="G37" i="1"/>
  <c r="K24" i="1"/>
  <c r="G24" i="1"/>
  <c r="K74" i="1"/>
  <c r="G74" i="1"/>
  <c r="K75" i="1"/>
  <c r="G75" i="1"/>
  <c r="K72" i="1"/>
  <c r="G72" i="1"/>
  <c r="K35" i="1"/>
  <c r="G35" i="1"/>
  <c r="D30" i="3"/>
  <c r="G77" i="1"/>
  <c r="J84" i="7"/>
  <c r="K56" i="1" l="1"/>
  <c r="C34"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G78" i="1"/>
  <c r="K76" i="1"/>
  <c r="G76" i="1"/>
  <c r="K38" i="1"/>
  <c r="G38" i="1"/>
  <c r="K77" i="1"/>
  <c r="H94" i="7"/>
  <c r="R22" i="15" l="1"/>
  <c r="U22" i="15"/>
  <c r="I22" i="15"/>
  <c r="F22" i="15"/>
  <c r="O22" i="15"/>
  <c r="C18" i="14"/>
  <c r="E7" i="15" s="1"/>
  <c r="AP10" i="15"/>
  <c r="AQ10" i="15" s="1"/>
  <c r="AP25" i="15"/>
  <c r="AQ25" i="15" s="1"/>
  <c r="AP16" i="15"/>
  <c r="K33" i="1"/>
  <c r="C24"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G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0"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2"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<sst xmlns="http://schemas.openxmlformats.org/spreadsheetml/2006/main" count="1565" uniqueCount="544">
  <si>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</si>
  <si>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</si>
  <si>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</si>
  <si>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</si>
  <si>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</si>
  <si>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</si>
  <si>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</si>
  <si>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</si>
  <si>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</si>
  <si>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</si>
  <si>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</si>
  <si>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</si>
  <si>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</si>
  <si>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</si>
  <si>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</si>
  <si>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</si>
  <si>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</si>
  <si>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</si>
  <si>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</si>
  <si>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</si>
  <si>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</si>
  <si>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</si>
  <si>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</si>
  <si>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</si>
  <si>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</si>
  <si>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</si>
  <si>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</si>
  <si>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</si>
  <si>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</si>
  <si>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</si>
  <si>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</si>
  <si>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</si>
  <si>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</si>
  <si>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</si>
  <si>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</si>
  <si>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</si>
  <si>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</si>
  <si>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</si>
  <si>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</si>
  <si>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</si>
  <si>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</si>
  <si>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</si>
  <si>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</si>
  <si>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</si>
  <si>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</si>
  <si>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</si>
  <si>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</si>
  <si>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</si>
  <si>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</si>
  <si>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</si>
  <si>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</si>
  <si>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</si>
  <si>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</si>
  <si>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</si>
  <si>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</si>
  <si>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</si>
  <si>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</si>
  <si>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</si>
  <si>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</si>
  <si>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</si>
  <si>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</si>
  <si>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</si>
  <si>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</si>
  <si>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</si>
  <si>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</si>
  <si>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</si>
  <si>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</si>
  <si>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</si>
  <si>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</si>
  <si>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</si>
  <si>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</si>
  <si>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</si>
  <si>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</si>
  <si>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</si>
  <si>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</si>
  <si>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</si>
  <si>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</si>
  <si>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</si>
  <si>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</si>
  <si>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</si>
  <si>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</si>
  <si>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</si>
  <si>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</si>
  <si>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</si>
  <si>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</si>
  <si>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</si>
  <si>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</si>
  <si>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</si>
  <si>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</si>
  <si>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</si>
  <si>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</si>
  <si>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</si>
  <si>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</si>
  <si>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</si>
  <si>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</si>
  <si>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</si>
  <si>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</si>
  <si>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</si>
  <si>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</si>
  <si>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</si>
  <si>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</si>
  <si>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</si>
  <si>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</si>
  <si>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</si>
  <si>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</si>
  <si>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</si>
  <si>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</si>
  <si>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</si>
  <si>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</si>
  <si>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</si>
  <si>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</si>
  <si>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</si>
  <si>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</si>
  <si>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</si>
  <si>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</si>
  <si>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</si>
  <si>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</si>
  <si>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</si>
  <si>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</si>
  <si>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</si>
  <si>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</si>
  <si>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</si>
  <si>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</si>
  <si>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</si>
  <si>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</si>
  <si>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</si>
  <si>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</si>
  <si>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</si>
  <si>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</si>
  <si>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</si>
  <si>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</si>
  <si>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</si>
  <si>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</si>
  <si>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</si>
  <si>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</si>
  <si>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</si>
  <si>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</si>
  <si>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</si>
  <si>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</si>
  <si>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</si>
  <si>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</si>
  <si>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</si>
  <si>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</si>
  <si>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</si>
  <si>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</si>
  <si>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</si>
  <si>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</si>
  <si>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</si>
  <si>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</si>
  <si>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</si>
  <si>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</si>
  <si>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</si>
  <si>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</si>
  <si>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</si>
  <si>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</si>
  <si>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</si>
  <si>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</si>
  <si>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</si>
  <si>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</si>
  <si>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</si>
  <si>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</si>
  <si>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</si>
  <si>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</si>
  <si>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</si>
  <si>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</si>
  <si>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</si>
  <si>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</si>
  <si>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</si>
  <si>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</si>
  <si>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</si>
  <si>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</si>
  <si>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</si>
  <si>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</si>
  <si>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</si>
  <si>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</si>
  <si>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</si>
  <si>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</si>
  <si>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</si>
  <si>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</si>
  <si>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</si>
  <si>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</si>
  <si>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</si>
  <si>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</si>
  <si>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</si>
  <si>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</si>
  <si>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</si>
  <si>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</si>
  <si>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</si>
  <si>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</si>
  <si>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</si>
  <si>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</si>
  <si>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</si>
  <si>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</si>
  <si>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</si>
  <si>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</si>
  <si>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</si>
  <si>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</si>
  <si>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</si>
  <si>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</si>
  <si>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</si>
  <si>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</si>
  <si>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</si>
  <si>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</si>
  <si>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</si>
  <si>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</si>
  <si>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</si>
  <si>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</si>
  <si>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</si>
  <si>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</si>
  <si>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</si>
  <si>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</si>
  <si>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</si>
  <si>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</si>
  <si>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</si>
  <si>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</si>
  <si>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</si>
  <si>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</si>
  <si>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</si>
  <si>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</si>
  <si>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</si>
  <si>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</si>
  <si>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</si>
  <si>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</si>
  <si>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</si>
  <si>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</si>
  <si>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</si>
  <si>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</si>
  <si>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</si>
  <si>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</si>
  <si>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</si>
  <si>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</si>
  <si>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</si>
  <si>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</si>
  <si>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</si>
  <si>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</si>
  <si>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</si>
  <si>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</si>
  <si>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</si>
  <si>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</si>
  <si>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</si>
  <si>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</si>
  <si>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</si>
  <si>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</si>
  <si>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</si>
  <si>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</si>
  <si>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</si>
  <si>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</si>
  <si>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</si>
  <si>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</si>
  <si>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</si>
  <si>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</si>
  <si>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</si>
  <si>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</si>
  <si>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</si>
  <si>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</si>
  <si>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</si>
  <si>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</si>
  <si>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</si>
  <si>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</si>
  <si>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</si>
  <si>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</si>
  <si>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</si>
  <si>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</si>
  <si>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</si>
  <si>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</si>
  <si>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</si>
  <si>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</si>
  <si>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</si>
  <si>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</si>
  <si>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</si>
  <si>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</si>
  <si>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</si>
  <si>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</si>
  <si>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</si>
  <si>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</si>
  <si>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</si>
  <si>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</si>
  <si>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</si>
  <si>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</si>
  <si>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</si>
  <si>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</si>
  <si>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</si>
  <si>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</si>
  <si>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</si>
  <si>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</si>
  <si>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</si>
  <si>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</si>
  <si>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</si>
  <si>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</si>
  <si>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</si>
  <si>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</si>
  <si>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</si>
  <si>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</si>
  <si>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</si>
  <si>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</si>
  <si>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</si>
  <si>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</si>
  <si>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</si>
  <si>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</si>
  <si>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</si>
  <si>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</si>
  <si>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</si>
  <si>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</si>
  <si>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</si>
  <si>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</si>
  <si>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</si>
  <si>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</si>
  <si>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</si>
  <si>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</si>
  <si>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</si>
  <si>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</si>
  <si>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</si>
  <si>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</si>
  <si>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</si>
  <si>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</si>
  <si>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</si>
  <si>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</si>
  <si>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</si>
  <si>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</si>
  <si>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</si>
  <si>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</si>
  <si>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</si>
  <si>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</si>
  <si>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</si>
  <si>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</si>
  <si>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</si>
  <si>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</si>
  <si>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</si>
  <si>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</si>
  <si>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</si>
  <si>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</si>
  <si>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</si>
  <si>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</si>
  <si>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</si>
  <si>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</si>
  <si>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</si>
  <si>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</si>
  <si>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</si>
  <si>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</si>
  <si>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</si>
  <si>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</si>
  <si>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</si>
  <si>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</si>
  <si>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</si>
  <si>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</si>
  <si>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</si>
  <si>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</si>
  <si>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</si>
  <si>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</si>
  <si>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</si>
  <si>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</si>
  <si>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</si>
  <si>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</si>
  <si>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</si>
  <si>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</si>
  <si>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</si>
  <si>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</si>
  <si>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</si>
  <si>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</si>
  <si>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</si>
  <si>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</si>
  <si>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</si>
  <si>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</si>
  <si>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</si>
  <si>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</si>
  <si>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</si>
  <si>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</si>
  <si>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</si>
  <si>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</si>
  <si>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</si>
  <si>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</si>
  <si>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</si>
  <si>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</si>
  <si>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</si>
  <si>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</si>
  <si>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</si>
  <si>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</si>
  <si>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</si>
  <si>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</si>
  <si>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</si>
  <si>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</si>
  <si>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</si>
  <si>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</si>
  <si>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</si>
  <si>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</si>
  <si>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</si>
  <si>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</si>
  <si>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</si>
  <si>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</si>
  <si>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</si>
  <si>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</si>
  <si>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</si>
  <si>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</si>
  <si>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</si>
  <si>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</si>
  <si>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</si>
  <si>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</si>
  <si>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</si>
  <si>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</si>
  <si>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</si>
  <si>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</si>
  <si>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</si>
  <si>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</si>
  <si>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</si>
  <si>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</si>
  <si>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</si>
  <si>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</si>
  <si>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</si>
  <si>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</si>
  <si>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</si>
  <si>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</si>
  <si>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</si>
  <si>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</si>
  <si>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</si>
  <si>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</si>
  <si>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</si>
  <si>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</si>
  <si>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</si>
  <si>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</si>
  <si>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</si>
  <si>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</si>
  <si>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</si>
  <si>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</si>
  <si>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</si>
  <si>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</si>
  <si>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</si>
  <si>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</si>
  <si>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</si>
  <si>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</si>
  <si>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</si>
  <si>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</si>
  <si>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</si>
  <si>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</si>
  <si>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1</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</si>
  <si>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</si>
  <si>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</si>
  <si>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</si>
  <si>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</si>
  <si>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</si>
  <si>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</si>
  <si>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</si>
  <si>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</si>
  <si>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</si>
  <si>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</si>
  <si>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</si>
  <si>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</si>
  <si>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</si>
  <si>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</si>
  <si>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</si>
  <si>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</si>
  <si>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</si>
  <si>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</si>
  <si>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</si>
  <si>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</si>
  <si>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</si>
  <si>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</si>
  <si>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</si>
  <si>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</si>
  <si>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</si>
  <si>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</si>
  <si>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</si>
  <si>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</si>
  <si>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</si>
  <si>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</si>
  <si>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</si>
  <si>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</si>
  <si>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</si>
  <si>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</si>
  <si>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</si>
  <si>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</si>
  <si>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</si>
  <si>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</si>
  <si>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</si>
  <si>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</si>
  <si>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</si>
  <si>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</si>
  <si>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</si>
  <si>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</si>
  <si>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</si>
  <si>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</si>
  <si>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</si>
  <si>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</si>
  <si>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</si>
  <si>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</si>
  <si>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</si>
  <si>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</si>
  <si>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</si>
  <si>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</si>
  <si>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</si>
  <si>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</si>
  <si>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</si>
  <si>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</si>
  <si>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</si>
  <si>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</si>
  <si>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</si>
  <si>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</si>
  <si>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</si>
  <si>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</si>
  <si>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</si>
  <si>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</si>
  <si>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</si>
  <si>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</si>
  <si>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</si>
  <si>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</si>
  <si>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</si>
  <si>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</si>
  <si>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</si>
  <si>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</si>
  <si>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</si>
  <si>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</si>
  <si>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</si>
  <si>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</si>
  <si>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t>
  </si>
  <si>
    <t>REGIÃO DO PONTE NOVA, REGIÃO DO CRISTO REI, REGIÃO DO PARQUE DO LAGO E REGIÃO DO 23 DE SETEMBRO</t>
  </si>
  <si>
    <t>LOTE 01</t>
  </si>
  <si>
    <t xml:space="preserve"> PONTE NOVA</t>
  </si>
  <si>
    <t>CRISTO REI</t>
  </si>
  <si>
    <t>PARQUE DO LAGO</t>
  </si>
  <si>
    <t>23 DE SETEMBRO</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</si>
  <si>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</si>
  <si>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</si>
  <si>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</si>
  <si>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</si>
  <si>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</si>
  <si>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PONTALETE *7,5 X 7,5* CM EM PINUS, MISTA OU EQUIVALENTE DA REGIAO - BRUTA</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</si>
  <si>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</si>
  <si>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</si>
  <si>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</si>
  <si>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</si>
  <si>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ESPARGIDOR DE ASFALTO PRESSURIZADO, TANQUE 6 M3 COM ISOLAÇÃO TÉRMICA, AQUECIDO COM 2 MAÇARICOS, COM BARRA ESPARGIDORA 3,60 M, MONTADO SOBRE CAMINHÃO TOCO, PBT 14.300 KG, POTÊNCIA 185 CV - CHP DIURNO. AF_08/2015</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</si>
  <si>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</si>
  <si>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</si>
  <si>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CHI DIURNO. AF_08/2015</t>
  </si>
  <si>
    <t>TRATOR DE PNEUS, POTÊNCIA 85 CV, TRAÇÃO 4X4, PESO COM LASTRO DE 4.675 KG - CHI DIURNO. AF_06/2014</t>
  </si>
  <si>
    <t>TRATOR DE PNEUS, POTÊNCIA 85 CV, TRAÇÃO 4X4, PESO COM LASTRO DE 4.675 KG - CHP DIURNO. AF_06/2014</t>
  </si>
  <si>
    <t>EMULSAO ASFALTICA CATIONICA RR-2C PARA USO EM PAVIMENTACAO ASFALTICA (COLETADO ANP)</t>
  </si>
  <si>
    <t>EXECUÇÃO DE IMPRIMAÇÃO COM ASFALTO DILUÍDO CM-30. AF_11/2019</t>
  </si>
  <si>
    <t>ASFALTO DILUIDO DE PETROLEO CM-30 (COLETADO CAIXA NA ANP)</t>
  </si>
  <si>
    <t>PLACA DE OBRA (PARA CONSTRUCAO CIVIL) EM CHAPA GALVANIZADA *N. 22*, ADESIVADA, DE *2,4 X 1,2* M (SEM POSTES PARA FIXACAO)</t>
  </si>
  <si>
    <t>COMP 05</t>
  </si>
  <si>
    <t xml:space="preserve">Quantidade </t>
  </si>
  <si>
    <t>ANP 03/23</t>
  </si>
  <si>
    <t>JUNHO/2023 SINAPI</t>
  </si>
  <si>
    <t>ABRIL/2023 SICRO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</si>
</sst>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44" formatCode="_-&quot;R$&quot;\ * #,##0.00_-;\-&quot;R$&quot;\ * #,##0.00_-;_-&quot;R$&quot;\ * &quot;-&quot;??_-;_-@_-"/>
    <numFmt numFmtId="43" formatCode="_-* #,##0.00_-;\-* #,##0.00_-;_-* &quot;-&quot;??_-;_-@_-"/>
    <numFmt numFmtId="164" formatCode="_-&quot;R$&quot;* #,##0.00_-;\-&quot;R$&quot;* #,##0.00_-;_-&quot;R$&quot;* &quot;-&quot;??_-;_-@_-"/>
    <numFmt numFmtId="165" formatCode="_-* #,##0.000_-;\-* #,##0.000_-;_-* &quot;-&quot;??_-;_-@_-"/>
    <numFmt numFmtId="166" formatCode="_(* #,##0.00_);_(* \(#,##0.00\);_(* &quot;-&quot;??_);_(@_)"/>
    <numFmt numFmtId="167" formatCode="_(* #,##0.0_);_(* \(#,##0.0\);_(* &quot;-&quot;??_);_(@_)"/>
    <numFmt numFmtId="168" formatCode="0.0"/>
    <numFmt numFmtId="169" formatCode="#,##0.000"/>
    <numFmt numFmtId="170" formatCode="#,##0.0000"/>
    <numFmt numFmtId="171" formatCode="#,##0.0000\ ;&quot; (&quot;#,##0.0000\);&quot; - &quot;;@\ "/>
    <numFmt numFmtId="172" formatCode="General\ "/>
    <numFmt numFmtId="173" formatCode="#,##0.00&quot;   &quot;;[Red]\-#,##0.00&quot;   &quot;"/>
    <numFmt numFmtId="174" formatCode="0.0000"/>
    <numFmt numFmtId="175" formatCode="#,##0.0000&quot;   &quot;;[Red]\-#,##0.0000&quot;   &quot;"/>
    <numFmt numFmtId="176" formatCode="#,##0.0000\ ;&quot; (&quot;#,##0.0000\);&quot; -&quot;#\ ;@\ "/>
    <numFmt numFmtId="177" formatCode="#,##0.00\ ;&quot; (&quot;#,##0.00\);&quot; -&quot;#\ ;@\ "/>
    <numFmt numFmtId="178" formatCode="_-* #,##0.0000_-;\-* #,##0.0000_-;_-* &quot;-&quot;??_-;_-@_-"/>
    <numFmt numFmtId="179" formatCode="_-* #,##0.000_-;\-* #,##0.000_-;_-* &quot;-&quot;???_-;_-@_-"/>
    <numFmt numFmtId="180" formatCode="_-* #,##0_-;\-* #,##0_-;_-* &quot;-&quot;??_-;_-@_-"/>
    <numFmt numFmtId="181" formatCode="_-* #,##0.00000_-;\-* #,##0.00000_-;_-* &quot;-&quot;??_-;_-@_-"/>
    <numFmt numFmtId="182" formatCode="_(&quot;R$ &quot;* #,##0.00_);_(&quot;R$ &quot;* \(#,##0.00\);_(&quot;R$ &quot;* &quot;-&quot;??_);_(@_)"/>
    <numFmt numFmtId="183" formatCode="&quot;Cr$&quot;#,##0_);\(&quot;Cr$&quot;#,##0\)"/>
    <numFmt numFmtId="184" formatCode="#,##0.00_ ;\-#,##0.00\ "/>
    <numFmt numFmtId="185" formatCode="0.0%"/>
    <numFmt numFmtId="186" formatCode="_(* #,##0.000_);_(* \(#,##0.000\);_(* &quot;-&quot;??_);_(@_)"/>
    <numFmt numFmtId="187" formatCode="[$-F800]dddd\,\ mmmm\ dd\,\ yyyy"/>
    <numFmt numFmtId="188" formatCode="#,##0.00000"/>
    <numFmt numFmtId="189" formatCode="0.0000%"/>
    <numFmt numFmtId="190" formatCode="_(&quot;$&quot;* #,##0.00_);_(&quot;$&quot;* \(#,##0.00\);_(&quot;$&quot;* &quot;-&quot;??_);_(@_)"/>
    <numFmt numFmtId="191" formatCode="_(* #,##0.00_);_(* \(#,##0.00\);_(* \-??_);_(@_)"/>
    <numFmt numFmtId="192" formatCode="_([$€-2]* #,##0.00_);_([$€-2]* \(#,##0.00\);_([$€-2]* &quot;-&quot;??_)"/>
  </numFmts>
  <fonts count="102">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62"/>
      <name val="Calibri"/>
      <family val="2"/>
    </font>
    <font>
      <u/>
      <sz val="10"/>
      <color indexed="12"/>
      <name val="Arial"/>
      <family val="2"/>
    </font>
    <font>
      <sz val="11"/>
      <color indexed="20"/>
      <name val="Calibri"/>
      <family val="2"/>
    </font>
    <font>
      <sz val="11"/>
      <color indexed="19"/>
      <name val="Calibri"/>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1"/>
      <color indexed="52"/>
      <name val="Calibri"/>
      <family val="2"/>
    </font>
    <font>
      <sz val="11"/>
      <color indexed="52"/>
      <name val="Calibri"/>
      <family val="2"/>
    </font>
    <font>
      <sz val="11"/>
      <color indexed="6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Helv"/>
      <charset val="204"/>
    </font>
    <font>
      <b/>
      <sz val="8"/>
      <name val="Times New Roman"/>
      <family val="1"/>
    </font>
    <font>
      <sz val="10"/>
      <color indexed="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u/>
      <sz val="9"/>
      <color indexed="12"/>
      <name val="Arial"/>
      <family val="2"/>
    </font>
    <font>
      <sz val="10"/>
      <color indexed="36"/>
      <name val="Arial"/>
      <family val="2"/>
    </font>
    <font>
      <sz val="10"/>
      <color indexed="37"/>
      <name val="Arial"/>
      <family val="2"/>
    </font>
    <font>
      <sz val="10"/>
      <name val="Times New Roman"/>
      <family val="1"/>
      <charset val="204"/>
    </font>
    <font>
      <b/>
      <sz val="10"/>
      <color indexed="22"/>
      <name val="Arial"/>
      <family val="2"/>
    </font>
    <font>
      <i/>
      <sz val="10"/>
      <color indexed="23"/>
      <name val="Arial"/>
      <family val="2"/>
    </font>
    <font>
      <b/>
      <sz val="15"/>
      <color indexed="32"/>
      <name val="Arial"/>
      <family val="2"/>
    </font>
    <font>
      <b/>
      <sz val="18"/>
      <color indexed="32"/>
      <name val="Cambria"/>
      <family val="1"/>
    </font>
    <font>
      <b/>
      <sz val="13"/>
      <color indexed="32"/>
      <name val="Arial"/>
      <family val="2"/>
    </font>
    <font>
      <b/>
      <sz val="11"/>
      <color indexed="32"/>
      <name val="Arial"/>
      <family val="2"/>
    </font>
    <font>
      <sz val="10"/>
      <name val="Arial"/>
      <family val="2"/>
      <charset val="1"/>
    </font>
    <font>
      <sz val="10"/>
      <name val="Arial"/>
      <family val="2"/>
      <charset val="204"/>
    </font>
    <font>
      <sz val="12"/>
      <color indexed="8"/>
      <name val="Calibri"/>
      <family val="2"/>
    </font>
    <font>
      <u/>
      <sz val="10"/>
      <color theme="10"/>
      <name val="Arial"/>
      <family val="2"/>
    </font>
    <font>
      <sz val="11"/>
      <color theme="1"/>
      <name val="Calibri"/>
      <family val="2"/>
    </font>
    <font>
      <b/>
      <sz val="11"/>
      <color theme="1"/>
      <name val="Calibri"/>
      <family val="2"/>
    </font>
    <font>
      <b/>
      <sz val="13"/>
      <color theme="1"/>
      <name val="Calibri"/>
      <family val="2"/>
    </font>
    <font>
      <sz val="13"/>
      <color theme="1"/>
      <name val="Calibri"/>
      <family val="2"/>
    </font>
    <font>
      <b/>
      <sz val="17"/>
      <color theme="1"/>
      <name val="Calibri"/>
      <family val="2"/>
    </font>
    <font>
      <b/>
      <sz val="12"/>
      <color theme="1"/>
      <name val="Calibri"/>
      <family val="2"/>
    </font>
  </fonts>
  <fills count="4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11"/>
        <bgColor indexed="11"/>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9"/>
      </patternFill>
    </fill>
    <fill>
      <patternFill patternType="solid">
        <fgColor indexed="22"/>
        <bgColor indexed="22"/>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s>
  <borders count="1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double">
        <color indexed="0"/>
      </left>
      <right style="double">
        <color indexed="0"/>
      </right>
      <top style="double">
        <color indexed="0"/>
      </top>
      <bottom style="double">
        <color indexed="0"/>
      </bottom>
      <diagonal/>
    </border>
    <border>
      <left/>
      <right/>
      <top/>
      <bottom style="double">
        <color indexed="10"/>
      </bottom>
      <diagonal/>
    </border>
    <border>
      <left/>
      <right/>
      <top/>
      <bottom style="double">
        <color indexed="52"/>
      </bottom>
      <diagonal/>
    </border>
    <border>
      <left/>
      <right/>
      <top/>
      <bottom style="double">
        <color indexed="3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thin">
        <color indexed="64"/>
      </right>
      <top style="double">
        <color indexed="64"/>
      </top>
      <bottom/>
      <diagonal/>
    </border>
    <border>
      <left style="thin">
        <color indexed="0"/>
      </left>
      <right style="thin">
        <color indexed="0"/>
      </right>
      <top style="thin">
        <color indexed="0"/>
      </top>
      <bottom style="thin">
        <color indexed="0"/>
      </bottom>
      <diagonal/>
    </border>
    <border>
      <left/>
      <right/>
      <top/>
      <bottom style="thick">
        <color indexed="56"/>
      </bottom>
      <diagonal/>
    </border>
    <border>
      <left/>
      <right/>
      <top/>
      <bottom style="thick">
        <color indexed="32"/>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32"/>
      </top>
      <bottom style="double">
        <color indexed="32"/>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00">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6" fontId="5" fillId="0" borderId="0" applyFont="0" applyFill="0" applyBorder="0" applyAlignment="0" applyProtection="0"/>
    <xf numFmtId="0" fontId="5" fillId="0" borderId="0"/>
    <xf numFmtId="0" fontId="10" fillId="0" borderId="0"/>
    <xf numFmtId="166" fontId="5" fillId="0" borderId="0" applyFont="0" applyFill="0" applyBorder="0" applyAlignment="0" applyProtection="0"/>
    <xf numFmtId="9" fontId="5" fillId="0" borderId="0" applyFont="0" applyFill="0" applyBorder="0" applyAlignment="0" applyProtection="0"/>
    <xf numFmtId="0" fontId="11" fillId="0" borderId="0"/>
    <xf numFmtId="171" fontId="17" fillId="0" borderId="0"/>
    <xf numFmtId="172" fontId="4" fillId="0" borderId="0" applyFill="0" applyBorder="0" applyAlignment="0" applyProtection="0"/>
    <xf numFmtId="173" fontId="4" fillId="0" borderId="0" applyFill="0" applyBorder="0" applyAlignment="0" applyProtection="0"/>
    <xf numFmtId="0" fontId="26" fillId="0" borderId="0"/>
    <xf numFmtId="0" fontId="5" fillId="0" borderId="0"/>
    <xf numFmtId="0" fontId="16" fillId="0" borderId="0"/>
    <xf numFmtId="0" fontId="43" fillId="0" borderId="0"/>
    <xf numFmtId="0" fontId="73" fillId="0" borderId="0"/>
    <xf numFmtId="0" fontId="50"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9" borderId="0" applyNumberFormat="0" applyBorder="0" applyAlignment="0" applyProtection="0"/>
    <xf numFmtId="0" fontId="50" fillId="14" borderId="0" applyNumberFormat="0" applyBorder="0" applyAlignment="0" applyProtection="0"/>
    <xf numFmtId="0" fontId="50" fillId="20" borderId="0" applyNumberFormat="0" applyBorder="0" applyAlignment="0" applyProtection="0"/>
    <xf numFmtId="0" fontId="5" fillId="14" borderId="0" applyNumberFormat="0" applyFont="0" applyFill="0" applyProtection="0"/>
    <xf numFmtId="0" fontId="50" fillId="14" borderId="0" applyNumberFormat="0" applyBorder="0" applyAlignment="0" applyProtection="0"/>
    <xf numFmtId="0" fontId="50" fillId="14" borderId="0" applyNumberFormat="0" applyBorder="0" applyAlignment="0" applyProtection="0"/>
    <xf numFmtId="0" fontId="50" fillId="20" borderId="0" applyNumberFormat="0" applyBorder="0" applyAlignment="0" applyProtection="0"/>
    <xf numFmtId="0" fontId="5" fillId="14" borderId="0" applyNumberFormat="0" applyFont="0" applyFill="0" applyProtection="0"/>
    <xf numFmtId="0" fontId="50" fillId="14" borderId="0" applyNumberFormat="0" applyBorder="0" applyAlignment="0" applyProtection="0"/>
    <xf numFmtId="0" fontId="50" fillId="15" borderId="0" applyNumberFormat="0" applyBorder="0" applyAlignment="0" applyProtection="0"/>
    <xf numFmtId="0" fontId="50" fillId="21" borderId="0" applyNumberFormat="0" applyBorder="0" applyAlignment="0" applyProtection="0"/>
    <xf numFmtId="0" fontId="5" fillId="15" borderId="0" applyNumberFormat="0" applyFont="0" applyFill="0" applyProtection="0"/>
    <xf numFmtId="0" fontId="50" fillId="15" borderId="0" applyNumberFormat="0" applyBorder="0" applyAlignment="0" applyProtection="0"/>
    <xf numFmtId="0" fontId="50" fillId="15" borderId="0" applyNumberFormat="0" applyBorder="0" applyAlignment="0" applyProtection="0"/>
    <xf numFmtId="0" fontId="50" fillId="21" borderId="0" applyNumberFormat="0" applyBorder="0" applyAlignment="0" applyProtection="0"/>
    <xf numFmtId="0" fontId="5" fillId="15" borderId="0" applyNumberFormat="0" applyFont="0" applyFill="0" applyProtection="0"/>
    <xf numFmtId="0" fontId="50" fillId="15" borderId="0" applyNumberFormat="0" applyBorder="0" applyAlignment="0" applyProtection="0"/>
    <xf numFmtId="0" fontId="50" fillId="16" borderId="0" applyNumberFormat="0" applyBorder="0" applyAlignment="0" applyProtection="0"/>
    <xf numFmtId="0" fontId="50" fillId="22" borderId="0" applyNumberFormat="0" applyBorder="0" applyAlignment="0" applyProtection="0"/>
    <xf numFmtId="0" fontId="5" fillId="16" borderId="0" applyNumberFormat="0" applyFont="0" applyFill="0" applyProtection="0"/>
    <xf numFmtId="0" fontId="50" fillId="16" borderId="0" applyNumberFormat="0" applyBorder="0" applyAlignment="0" applyProtection="0"/>
    <xf numFmtId="0" fontId="50" fillId="16" borderId="0" applyNumberFormat="0" applyBorder="0" applyAlignment="0" applyProtection="0"/>
    <xf numFmtId="0" fontId="50" fillId="22" borderId="0" applyNumberFormat="0" applyBorder="0" applyAlignment="0" applyProtection="0"/>
    <xf numFmtId="0" fontId="5" fillId="16" borderId="0" applyNumberFormat="0" applyFont="0" applyFill="0" applyProtection="0"/>
    <xf numFmtId="0" fontId="50" fillId="16" borderId="0" applyNumberFormat="0" applyBorder="0" applyAlignment="0" applyProtection="0"/>
    <xf numFmtId="0" fontId="50" fillId="17" borderId="0" applyNumberFormat="0" applyBorder="0" applyAlignment="0" applyProtection="0"/>
    <xf numFmtId="0" fontId="50" fillId="19"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17" borderId="0" applyNumberFormat="0" applyBorder="0" applyAlignment="0" applyProtection="0"/>
    <xf numFmtId="0" fontId="50" fillId="19"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0" fontId="5" fillId="16" borderId="0" applyNumberFormat="0" applyFont="0" applyFill="0" applyProtection="0"/>
    <xf numFmtId="0" fontId="50" fillId="18"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0" fontId="5" fillId="16" borderId="0" applyNumberFormat="0" applyFont="0" applyFill="0" applyProtection="0"/>
    <xf numFmtId="0" fontId="50" fillId="18" borderId="0" applyNumberFormat="0" applyBorder="0" applyAlignment="0" applyProtection="0"/>
    <xf numFmtId="0" fontId="50" fillId="19" borderId="0" applyNumberFormat="0" applyBorder="0" applyAlignment="0" applyProtection="0"/>
    <xf numFmtId="0" fontId="50" fillId="22" borderId="0" applyNumberFormat="0" applyBorder="0" applyAlignment="0" applyProtection="0"/>
    <xf numFmtId="0" fontId="5" fillId="15" borderId="0" applyNumberFormat="0" applyFont="0" applyFill="0" applyProtection="0"/>
    <xf numFmtId="0" fontId="50" fillId="19" borderId="0" applyNumberFormat="0" applyBorder="0" applyAlignment="0" applyProtection="0"/>
    <xf numFmtId="0" fontId="50" fillId="19" borderId="0" applyNumberFormat="0" applyBorder="0" applyAlignment="0" applyProtection="0"/>
    <xf numFmtId="0" fontId="50" fillId="22" borderId="0" applyNumberFormat="0" applyBorder="0" applyAlignment="0" applyProtection="0"/>
    <xf numFmtId="0" fontId="5" fillId="15" borderId="0" applyNumberFormat="0" applyFont="0" applyFill="0" applyProtection="0"/>
    <xf numFmtId="0" fontId="50" fillId="19"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50" fillId="23" borderId="0" applyNumberFormat="0" applyBorder="0" applyAlignment="0" applyProtection="0"/>
    <xf numFmtId="0" fontId="50" fillId="17" borderId="0" applyNumberFormat="0" applyBorder="0" applyAlignment="0" applyProtection="0"/>
    <xf numFmtId="0" fontId="50" fillId="20" borderId="0" applyNumberFormat="0" applyBorder="0" applyAlignment="0" applyProtection="0"/>
    <xf numFmtId="0" fontId="50" fillId="24"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5" fillId="21" borderId="0" applyNumberFormat="0" applyFont="0" applyFill="0" applyProtection="0"/>
    <xf numFmtId="0" fontId="50" fillId="21"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5" fillId="21" borderId="0" applyNumberFormat="0" applyFont="0" applyFill="0" applyProtection="0"/>
    <xf numFmtId="0" fontId="50" fillId="21" borderId="0" applyNumberFormat="0" applyBorder="0" applyAlignment="0" applyProtection="0"/>
    <xf numFmtId="0" fontId="50" fillId="23" borderId="0" applyNumberFormat="0" applyBorder="0" applyAlignment="0" applyProtection="0"/>
    <xf numFmtId="0" fontId="50" fillId="25" borderId="0" applyNumberFormat="0" applyBorder="0" applyAlignment="0" applyProtection="0"/>
    <xf numFmtId="0" fontId="5" fillId="26" borderId="0" applyNumberFormat="0" applyFont="0" applyFill="0" applyProtection="0"/>
    <xf numFmtId="0" fontId="50" fillId="23" borderId="0" applyNumberFormat="0" applyBorder="0" applyAlignment="0" applyProtection="0"/>
    <xf numFmtId="0" fontId="50" fillId="23" borderId="0" applyNumberFormat="0" applyBorder="0" applyAlignment="0" applyProtection="0"/>
    <xf numFmtId="0" fontId="50" fillId="25" borderId="0" applyNumberFormat="0" applyBorder="0" applyAlignment="0" applyProtection="0"/>
    <xf numFmtId="0" fontId="5" fillId="26" borderId="0" applyNumberFormat="0" applyFont="0" applyFill="0" applyProtection="0"/>
    <xf numFmtId="0" fontId="50" fillId="23" borderId="0" applyNumberFormat="0" applyBorder="0" applyAlignment="0" applyProtection="0"/>
    <xf numFmtId="0" fontId="50" fillId="17" borderId="0" applyNumberFormat="0" applyBorder="0" applyAlignment="0" applyProtection="0"/>
    <xf numFmtId="0" fontId="50" fillId="15"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17" borderId="0" applyNumberFormat="0" applyBorder="0" applyAlignment="0" applyProtection="0"/>
    <xf numFmtId="0" fontId="50" fillId="15"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4" borderId="0" applyNumberFormat="0" applyBorder="0" applyAlignment="0" applyProtection="0"/>
    <xf numFmtId="0" fontId="50" fillId="22" borderId="0" applyNumberFormat="0" applyBorder="0" applyAlignment="0" applyProtection="0"/>
    <xf numFmtId="0" fontId="5" fillId="27" borderId="0" applyNumberFormat="0" applyFont="0" applyFill="0" applyProtection="0"/>
    <xf numFmtId="0" fontId="50" fillId="24" borderId="0" applyNumberFormat="0" applyBorder="0" applyAlignment="0" applyProtection="0"/>
    <xf numFmtId="0" fontId="50" fillId="24" borderId="0" applyNumberFormat="0" applyBorder="0" applyAlignment="0" applyProtection="0"/>
    <xf numFmtId="0" fontId="50" fillId="22" borderId="0" applyNumberFormat="0" applyBorder="0" applyAlignment="0" applyProtection="0"/>
    <xf numFmtId="0" fontId="5" fillId="27" borderId="0" applyNumberFormat="0" applyFont="0" applyFill="0" applyProtection="0"/>
    <xf numFmtId="0" fontId="50" fillId="24" borderId="0" applyNumberFormat="0" applyBorder="0" applyAlignment="0" applyProtection="0"/>
    <xf numFmtId="0" fontId="51" fillId="28" borderId="0" applyNumberFormat="0" applyBorder="0" applyAlignment="0" applyProtection="0"/>
    <xf numFmtId="0" fontId="51" fillId="21" borderId="0" applyNumberFormat="0" applyBorder="0" applyAlignment="0" applyProtection="0"/>
    <xf numFmtId="0" fontId="51" fillId="23" borderId="0" applyNumberFormat="0" applyBorder="0" applyAlignment="0" applyProtection="0"/>
    <xf numFmtId="0" fontId="51" fillId="29"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51" fillId="28" borderId="0" applyNumberFormat="0" applyBorder="0" applyAlignment="0" applyProtection="0"/>
    <xf numFmtId="0" fontId="51" fillId="28" borderId="0" applyNumberFormat="0" applyBorder="0" applyAlignment="0" applyProtection="0"/>
    <xf numFmtId="0" fontId="76" fillId="28" borderId="0" applyNumberFormat="0" applyFont="0" applyFill="0" applyProtection="0"/>
    <xf numFmtId="0" fontId="76" fillId="28" borderId="0" applyNumberFormat="0" applyFont="0" applyFill="0" applyProtection="0"/>
    <xf numFmtId="0" fontId="51" fillId="18" borderId="0" applyNumberFormat="0" applyBorder="0" applyAlignment="0" applyProtection="0"/>
    <xf numFmtId="0" fontId="76" fillId="28" borderId="0" applyNumberFormat="0" applyFont="0" applyFill="0" applyProtection="0"/>
    <xf numFmtId="0" fontId="51" fillId="28" borderId="0" applyNumberFormat="0" applyBorder="0" applyAlignment="0" applyProtection="0"/>
    <xf numFmtId="0" fontId="76" fillId="28" borderId="0" applyNumberFormat="0" applyFont="0" applyFill="0" applyProtection="0"/>
    <xf numFmtId="0" fontId="51" fillId="21" borderId="0" applyNumberFormat="0" applyBorder="0" applyAlignment="0" applyProtection="0"/>
    <xf numFmtId="0" fontId="51" fillId="21" borderId="0" applyNumberFormat="0" applyBorder="0" applyAlignment="0" applyProtection="0"/>
    <xf numFmtId="0" fontId="76" fillId="21" borderId="0" applyNumberFormat="0" applyFont="0" applyFill="0" applyProtection="0"/>
    <xf numFmtId="0" fontId="76" fillId="21" borderId="0" applyNumberFormat="0" applyFont="0" applyFill="0" applyProtection="0"/>
    <xf numFmtId="0" fontId="51" fillId="32" borderId="0" applyNumberFormat="0" applyBorder="0" applyAlignment="0" applyProtection="0"/>
    <xf numFmtId="0" fontId="76" fillId="21" borderId="0" applyNumberFormat="0" applyFont="0" applyFill="0" applyProtection="0"/>
    <xf numFmtId="0" fontId="51" fillId="21" borderId="0" applyNumberFormat="0" applyBorder="0" applyAlignment="0" applyProtection="0"/>
    <xf numFmtId="0" fontId="76" fillId="21" borderId="0" applyNumberFormat="0" applyFont="0" applyFill="0" applyProtection="0"/>
    <xf numFmtId="0" fontId="51" fillId="23" borderId="0" applyNumberFormat="0" applyBorder="0" applyAlignment="0" applyProtection="0"/>
    <xf numFmtId="0" fontId="51" fillId="23" borderId="0" applyNumberFormat="0" applyBorder="0" applyAlignment="0" applyProtection="0"/>
    <xf numFmtId="0" fontId="76" fillId="26" borderId="0" applyNumberFormat="0" applyFont="0" applyFill="0" applyProtection="0"/>
    <xf numFmtId="0" fontId="76" fillId="26" borderId="0" applyNumberFormat="0" applyFont="0" applyFill="0" applyProtection="0"/>
    <xf numFmtId="0" fontId="51" fillId="24" borderId="0" applyNumberFormat="0" applyBorder="0" applyAlignment="0" applyProtection="0"/>
    <xf numFmtId="0" fontId="76" fillId="26" borderId="0" applyNumberFormat="0" applyFont="0" applyFill="0" applyProtection="0"/>
    <xf numFmtId="0" fontId="51" fillId="23" borderId="0" applyNumberFormat="0" applyBorder="0" applyAlignment="0" applyProtection="0"/>
    <xf numFmtId="0" fontId="76" fillId="26" borderId="0" applyNumberFormat="0" applyFont="0" applyFill="0" applyProtection="0"/>
    <xf numFmtId="0" fontId="51" fillId="29" borderId="0" applyNumberFormat="0" applyBorder="0" applyAlignment="0" applyProtection="0"/>
    <xf numFmtId="0" fontId="51" fillId="29" borderId="0" applyNumberFormat="0" applyBorder="0" applyAlignment="0" applyProtection="0"/>
    <xf numFmtId="0" fontId="76" fillId="33" borderId="0" applyNumberFormat="0" applyFont="0" applyFill="0" applyProtection="0"/>
    <xf numFmtId="0" fontId="76" fillId="33" borderId="0" applyNumberFormat="0" applyFont="0" applyFill="0" applyProtection="0"/>
    <xf numFmtId="0" fontId="51" fillId="15" borderId="0" applyNumberFormat="0" applyBorder="0" applyAlignment="0" applyProtection="0"/>
    <xf numFmtId="0" fontId="76" fillId="33" borderId="0" applyNumberFormat="0" applyFont="0" applyFill="0" applyProtection="0"/>
    <xf numFmtId="0" fontId="51" fillId="29" borderId="0" applyNumberFormat="0" applyBorder="0" applyAlignment="0" applyProtection="0"/>
    <xf numFmtId="0" fontId="76" fillId="33" borderId="0" applyNumberFormat="0" applyFont="0" applyFill="0" applyProtection="0"/>
    <xf numFmtId="0" fontId="51" fillId="30" borderId="0" applyNumberFormat="0" applyBorder="0" applyAlignment="0" applyProtection="0"/>
    <xf numFmtId="0" fontId="51" fillId="30" borderId="0" applyNumberFormat="0" applyBorder="0" applyAlignment="0" applyProtection="0"/>
    <xf numFmtId="0" fontId="76" fillId="30" borderId="0" applyNumberFormat="0" applyFont="0" applyFill="0" applyProtection="0"/>
    <xf numFmtId="0" fontId="76" fillId="30" borderId="0" applyNumberFormat="0" applyFont="0" applyFill="0" applyProtection="0"/>
    <xf numFmtId="0" fontId="51" fillId="18" borderId="0" applyNumberFormat="0" applyBorder="0" applyAlignment="0" applyProtection="0"/>
    <xf numFmtId="0" fontId="76" fillId="30" borderId="0" applyNumberFormat="0" applyFont="0" applyFill="0" applyProtection="0"/>
    <xf numFmtId="0" fontId="51" fillId="30" borderId="0" applyNumberFormat="0" applyBorder="0" applyAlignment="0" applyProtection="0"/>
    <xf numFmtId="0" fontId="76" fillId="30" borderId="0" applyNumberFormat="0" applyFont="0" applyFill="0" applyProtection="0"/>
    <xf numFmtId="0" fontId="51" fillId="31" borderId="0" applyNumberFormat="0" applyBorder="0" applyAlignment="0" applyProtection="0"/>
    <xf numFmtId="0" fontId="51" fillId="31" borderId="0" applyNumberFormat="0" applyBorder="0" applyAlignment="0" applyProtection="0"/>
    <xf numFmtId="0" fontId="76" fillId="27" borderId="0" applyNumberFormat="0" applyFont="0" applyFill="0" applyProtection="0"/>
    <xf numFmtId="0" fontId="76" fillId="27" borderId="0" applyNumberFormat="0" applyFont="0" applyFill="0" applyProtection="0"/>
    <xf numFmtId="0" fontId="51" fillId="21" borderId="0" applyNumberFormat="0" applyBorder="0" applyAlignment="0" applyProtection="0"/>
    <xf numFmtId="0" fontId="76" fillId="27" borderId="0" applyNumberFormat="0" applyFont="0" applyFill="0" applyProtection="0"/>
    <xf numFmtId="0" fontId="51" fillId="31" borderId="0" applyNumberFormat="0" applyBorder="0" applyAlignment="0" applyProtection="0"/>
    <xf numFmtId="0" fontId="76" fillId="27" borderId="0" applyNumberFormat="0" applyFont="0" applyFill="0" applyProtection="0"/>
    <xf numFmtId="0" fontId="51" fillId="34" borderId="0" applyNumberFormat="0" applyBorder="0" applyAlignment="0" applyProtection="0"/>
    <xf numFmtId="0" fontId="51" fillId="35" borderId="0" applyNumberFormat="0" applyBorder="0" applyAlignment="0" applyProtection="0"/>
    <xf numFmtId="0" fontId="51" fillId="36" borderId="0" applyNumberFormat="0" applyBorder="0" applyAlignment="0" applyProtection="0"/>
    <xf numFmtId="0" fontId="51" fillId="29" borderId="0" applyNumberFormat="0" applyBorder="0" applyAlignment="0" applyProtection="0"/>
    <xf numFmtId="0" fontId="51" fillId="30" borderId="0" applyNumberFormat="0" applyBorder="0" applyAlignment="0" applyProtection="0"/>
    <xf numFmtId="0" fontId="51" fillId="32" borderId="0" applyNumberFormat="0" applyBorder="0" applyAlignment="0" applyProtection="0"/>
    <xf numFmtId="0" fontId="57" fillId="15" borderId="0" applyNumberFormat="0" applyBorder="0" applyAlignment="0" applyProtection="0"/>
    <xf numFmtId="0" fontId="52" fillId="16" borderId="0" applyNumberFormat="0" applyBorder="0" applyAlignment="0" applyProtection="0"/>
    <xf numFmtId="0" fontId="52" fillId="16" borderId="0" applyNumberFormat="0" applyBorder="0" applyAlignment="0" applyProtection="0"/>
    <xf numFmtId="0" fontId="77" fillId="16" borderId="0" applyNumberFormat="0" applyFont="0" applyFill="0" applyProtection="0"/>
    <xf numFmtId="0" fontId="77" fillId="16" borderId="0" applyNumberFormat="0" applyFont="0" applyFill="0" applyProtection="0"/>
    <xf numFmtId="0" fontId="52" fillId="18" borderId="0" applyNumberFormat="0" applyBorder="0" applyAlignment="0" applyProtection="0"/>
    <xf numFmtId="0" fontId="77" fillId="16" borderId="0" applyNumberFormat="0" applyFont="0" applyFill="0" applyProtection="0"/>
    <xf numFmtId="0" fontId="52" fillId="16" borderId="0" applyNumberFormat="0" applyBorder="0" applyAlignment="0" applyProtection="0"/>
    <xf numFmtId="0" fontId="77" fillId="16" borderId="0" applyNumberFormat="0" applyFont="0" applyFill="0" applyProtection="0"/>
    <xf numFmtId="0" fontId="66" fillId="37" borderId="108" applyNumberFormat="0" applyAlignment="0" applyProtection="0"/>
    <xf numFmtId="0" fontId="66" fillId="37" borderId="108" applyNumberFormat="0" applyAlignment="0" applyProtection="0"/>
    <xf numFmtId="0" fontId="66" fillId="37" borderId="108" applyNumberFormat="0" applyAlignment="0" applyProtection="0"/>
    <xf numFmtId="0" fontId="78" fillId="39" borderId="108" applyNumberFormat="0" applyFont="0" applyProtection="0"/>
    <xf numFmtId="0" fontId="66" fillId="37" borderId="108" applyNumberFormat="0" applyAlignment="0" applyProtection="0"/>
    <xf numFmtId="0" fontId="53" fillId="38" borderId="108" applyNumberFormat="0" applyAlignment="0" applyProtection="0"/>
    <xf numFmtId="0" fontId="78" fillId="39" borderId="108" applyNumberFormat="0" applyFont="0" applyProtection="0"/>
    <xf numFmtId="0" fontId="66" fillId="37" borderId="108" applyNumberFormat="0" applyAlignment="0" applyProtection="0"/>
    <xf numFmtId="0" fontId="78" fillId="39" borderId="108" applyNumberFormat="0" applyFont="0" applyProtection="0"/>
    <xf numFmtId="0" fontId="5" fillId="0" borderId="0"/>
    <xf numFmtId="0" fontId="54" fillId="40" borderId="109" applyNumberFormat="0" applyAlignment="0" applyProtection="0"/>
    <xf numFmtId="0" fontId="54" fillId="40" borderId="109" applyNumberFormat="0" applyAlignment="0" applyProtection="0"/>
    <xf numFmtId="0" fontId="79" fillId="40" borderId="110" applyNumberFormat="0" applyFont="0" applyProtection="0"/>
    <xf numFmtId="0" fontId="54" fillId="40" borderId="109" applyNumberFormat="0" applyAlignment="0" applyProtection="0"/>
    <xf numFmtId="0" fontId="54" fillId="40" borderId="109" applyNumberFormat="0" applyAlignment="0" applyProtection="0"/>
    <xf numFmtId="0" fontId="79" fillId="40" borderId="110" applyNumberFormat="0" applyFont="0" applyProtection="0"/>
    <xf numFmtId="0" fontId="54" fillId="40" borderId="109" applyNumberFormat="0" applyAlignment="0" applyProtection="0"/>
    <xf numFmtId="0" fontId="79" fillId="40" borderId="110" applyNumberFormat="0" applyFont="0" applyProtection="0"/>
    <xf numFmtId="0" fontId="67" fillId="0" borderId="112" applyNumberFormat="0" applyFill="0" applyAlignment="0" applyProtection="0"/>
    <xf numFmtId="0" fontId="67" fillId="0" borderId="112" applyNumberFormat="0" applyFill="0" applyAlignment="0" applyProtection="0"/>
    <xf numFmtId="0" fontId="80" fillId="0" borderId="113" applyNumberFormat="0" applyFont="0" applyAlignment="0" applyProtection="0"/>
    <xf numFmtId="0" fontId="67" fillId="0" borderId="112" applyNumberFormat="0" applyFill="0" applyAlignment="0" applyProtection="0"/>
    <xf numFmtId="0" fontId="34" fillId="0" borderId="111" applyNumberFormat="0" applyFill="0" applyAlignment="0" applyProtection="0"/>
    <xf numFmtId="0" fontId="80" fillId="0" borderId="113" applyNumberFormat="0" applyFont="0" applyAlignment="0" applyProtection="0"/>
    <xf numFmtId="0" fontId="67" fillId="0" borderId="112" applyNumberFormat="0" applyFill="0" applyAlignment="0" applyProtection="0"/>
    <xf numFmtId="0" fontId="80" fillId="0" borderId="113" applyNumberFormat="0" applyFont="0" applyAlignment="0" applyProtection="0"/>
    <xf numFmtId="0" fontId="54" fillId="40" borderId="109" applyNumberFormat="0" applyAlignment="0" applyProtection="0"/>
    <xf numFmtId="3" fontId="5" fillId="0" borderId="0" applyFont="0" applyFill="0" applyBorder="0" applyAlignment="0" applyProtection="0"/>
    <xf numFmtId="3" fontId="5" fillId="0" borderId="0" applyFont="0" applyFill="0" applyBorder="0" applyAlignment="0" applyProtection="0"/>
    <xf numFmtId="0" fontId="51" fillId="34" borderId="0" applyNumberFormat="0" applyBorder="0" applyAlignment="0" applyProtection="0"/>
    <xf numFmtId="0" fontId="51" fillId="34" borderId="0" applyNumberFormat="0" applyBorder="0" applyAlignment="0" applyProtection="0"/>
    <xf numFmtId="0" fontId="76" fillId="34" borderId="0" applyNumberFormat="0" applyFont="0" applyFill="0" applyProtection="0"/>
    <xf numFmtId="0" fontId="76" fillId="34" borderId="0" applyNumberFormat="0" applyFont="0" applyFill="0" applyProtection="0"/>
    <xf numFmtId="0" fontId="51" fillId="41" borderId="0" applyNumberFormat="0" applyBorder="0" applyAlignment="0" applyProtection="0"/>
    <xf numFmtId="0" fontId="76" fillId="34" borderId="0" applyNumberFormat="0" applyFont="0" applyFill="0" applyProtection="0"/>
    <xf numFmtId="0" fontId="51" fillId="34" borderId="0" applyNumberFormat="0" applyBorder="0" applyAlignment="0" applyProtection="0"/>
    <xf numFmtId="0" fontId="76" fillId="34" borderId="0" applyNumberFormat="0" applyFont="0" applyFill="0" applyProtection="0"/>
    <xf numFmtId="0" fontId="51" fillId="35" borderId="0" applyNumberFormat="0" applyBorder="0" applyAlignment="0" applyProtection="0"/>
    <xf numFmtId="0" fontId="51" fillId="35" borderId="0" applyNumberFormat="0" applyBorder="0" applyAlignment="0" applyProtection="0"/>
    <xf numFmtId="0" fontId="76" fillId="42" borderId="0" applyNumberFormat="0" applyFont="0" applyFill="0" applyProtection="0"/>
    <xf numFmtId="0" fontId="76" fillId="42" borderId="0" applyNumberFormat="0" applyFont="0" applyFill="0" applyProtection="0"/>
    <xf numFmtId="0" fontId="51" fillId="32" borderId="0" applyNumberFormat="0" applyBorder="0" applyAlignment="0" applyProtection="0"/>
    <xf numFmtId="0" fontId="76" fillId="42" borderId="0" applyNumberFormat="0" applyFont="0" applyFill="0" applyProtection="0"/>
    <xf numFmtId="0" fontId="51" fillId="35" borderId="0" applyNumberFormat="0" applyBorder="0" applyAlignment="0" applyProtection="0"/>
    <xf numFmtId="0" fontId="76" fillId="42" borderId="0" applyNumberFormat="0" applyFont="0" applyFill="0" applyProtection="0"/>
    <xf numFmtId="0" fontId="51" fillId="36" borderId="0" applyNumberFormat="0" applyBorder="0" applyAlignment="0" applyProtection="0"/>
    <xf numFmtId="0" fontId="51" fillId="36" borderId="0" applyNumberFormat="0" applyBorder="0" applyAlignment="0" applyProtection="0"/>
    <xf numFmtId="0" fontId="76" fillId="43" borderId="0" applyNumberFormat="0" applyFont="0" applyFill="0" applyProtection="0"/>
    <xf numFmtId="0" fontId="76" fillId="43" borderId="0" applyNumberFormat="0" applyFont="0" applyFill="0" applyProtection="0"/>
    <xf numFmtId="0" fontId="51" fillId="24" borderId="0" applyNumberFormat="0" applyBorder="0" applyAlignment="0" applyProtection="0"/>
    <xf numFmtId="0" fontId="76" fillId="43" borderId="0" applyNumberFormat="0" applyFont="0" applyFill="0" applyProtection="0"/>
    <xf numFmtId="0" fontId="51" fillId="36" borderId="0" applyNumberFormat="0" applyBorder="0" applyAlignment="0" applyProtection="0"/>
    <xf numFmtId="0" fontId="76" fillId="43" borderId="0" applyNumberFormat="0" applyFont="0" applyFill="0" applyProtection="0"/>
    <xf numFmtId="0" fontId="51" fillId="29" borderId="0" applyNumberFormat="0" applyBorder="0" applyAlignment="0" applyProtection="0"/>
    <xf numFmtId="0" fontId="51" fillId="29" borderId="0" applyNumberFormat="0" applyBorder="0" applyAlignment="0" applyProtection="0"/>
    <xf numFmtId="0" fontId="76" fillId="33" borderId="0" applyNumberFormat="0" applyFont="0" applyFill="0" applyProtection="0"/>
    <xf numFmtId="0" fontId="76" fillId="33" borderId="0" applyNumberFormat="0" applyFont="0" applyFill="0" applyProtection="0"/>
    <xf numFmtId="0" fontId="51" fillId="44" borderId="0" applyNumberFormat="0" applyBorder="0" applyAlignment="0" applyProtection="0"/>
    <xf numFmtId="0" fontId="76" fillId="33" borderId="0" applyNumberFormat="0" applyFont="0" applyFill="0" applyProtection="0"/>
    <xf numFmtId="0" fontId="51" fillId="29" borderId="0" applyNumberFormat="0" applyBorder="0" applyAlignment="0" applyProtection="0"/>
    <xf numFmtId="0" fontId="76" fillId="33" borderId="0" applyNumberFormat="0" applyFont="0" applyFill="0" applyProtection="0"/>
    <xf numFmtId="0" fontId="51" fillId="30" borderId="0" applyNumberFormat="0" applyBorder="0" applyAlignment="0" applyProtection="0"/>
    <xf numFmtId="0" fontId="51" fillId="30" borderId="0" applyNumberFormat="0" applyBorder="0" applyAlignment="0" applyProtection="0"/>
    <xf numFmtId="0" fontId="76" fillId="30" borderId="0" applyNumberFormat="0" applyFont="0" applyFill="0" applyProtection="0"/>
    <xf numFmtId="0" fontId="76" fillId="30" borderId="0" applyNumberFormat="0" applyFont="0" applyFill="0" applyProtection="0"/>
    <xf numFmtId="0" fontId="51" fillId="30" borderId="0" applyNumberFormat="0" applyBorder="0" applyAlignment="0" applyProtection="0"/>
    <xf numFmtId="0" fontId="76" fillId="30" borderId="0" applyNumberFormat="0" applyFont="0" applyFill="0" applyProtection="0"/>
    <xf numFmtId="0" fontId="51" fillId="30" borderId="0" applyNumberFormat="0" applyBorder="0" applyAlignment="0" applyProtection="0"/>
    <xf numFmtId="0" fontId="76" fillId="30" borderId="0" applyNumberFormat="0" applyFont="0" applyFill="0" applyProtection="0"/>
    <xf numFmtId="0" fontId="51" fillId="32" borderId="0" applyNumberFormat="0" applyBorder="0" applyAlignment="0" applyProtection="0"/>
    <xf numFmtId="0" fontId="51" fillId="32" borderId="0" applyNumberFormat="0" applyBorder="0" applyAlignment="0" applyProtection="0"/>
    <xf numFmtId="0" fontId="76" fillId="35" borderId="0" applyNumberFormat="0" applyFont="0" applyFill="0" applyProtection="0"/>
    <xf numFmtId="0" fontId="76" fillId="35" borderId="0" applyNumberFormat="0" applyFont="0" applyFill="0" applyProtection="0"/>
    <xf numFmtId="0" fontId="51" fillId="35" borderId="0" applyNumberFormat="0" applyBorder="0" applyAlignment="0" applyProtection="0"/>
    <xf numFmtId="0" fontId="76" fillId="35" borderId="0" applyNumberFormat="0" applyFont="0" applyFill="0" applyProtection="0"/>
    <xf numFmtId="0" fontId="51" fillId="32" borderId="0" applyNumberFormat="0" applyBorder="0" applyAlignment="0" applyProtection="0"/>
    <xf numFmtId="0" fontId="76" fillId="35" borderId="0" applyNumberFormat="0" applyFont="0" applyFill="0" applyProtection="0"/>
    <xf numFmtId="0" fontId="55" fillId="19" borderId="108" applyNumberFormat="0" applyAlignment="0" applyProtection="0"/>
    <xf numFmtId="0" fontId="55" fillId="19" borderId="108" applyNumberFormat="0" applyAlignment="0" applyProtection="0"/>
    <xf numFmtId="0" fontId="81" fillId="15" borderId="108" applyNumberFormat="0" applyFont="0" applyProtection="0"/>
    <xf numFmtId="0" fontId="55" fillId="19" borderId="108" applyNumberFormat="0" applyAlignment="0" applyProtection="0"/>
    <xf numFmtId="0" fontId="55" fillId="25" borderId="108" applyNumberFormat="0" applyAlignment="0" applyProtection="0"/>
    <xf numFmtId="0" fontId="81" fillId="15" borderId="108" applyNumberFormat="0" applyFont="0" applyProtection="0"/>
    <xf numFmtId="0" fontId="55" fillId="19" borderId="108" applyNumberFormat="0" applyAlignment="0" applyProtection="0"/>
    <xf numFmtId="0" fontId="81" fillId="15" borderId="108" applyNumberFormat="0" applyFont="0" applyProtection="0"/>
    <xf numFmtId="0" fontId="73" fillId="0" borderId="0"/>
    <xf numFmtId="192" fontId="5" fillId="0" borderId="0" applyFont="0" applyFill="0" applyBorder="0" applyAlignment="0" applyProtection="0"/>
    <xf numFmtId="192" fontId="5" fillId="0" borderId="0" applyFont="0" applyFill="0" applyBorder="0" applyAlignment="0" applyProtection="0"/>
    <xf numFmtId="192" fontId="5" fillId="0" borderId="0" applyFont="0" applyFill="0" applyBorder="0" applyAlignment="0" applyProtection="0"/>
    <xf numFmtId="192" fontId="5" fillId="0" borderId="0" applyFont="0" applyFill="0" applyBorder="0" applyAlignment="0" applyProtection="0"/>
    <xf numFmtId="0" fontId="94" fillId="0" borderId="0"/>
    <xf numFmtId="0" fontId="93" fillId="0" borderId="0"/>
    <xf numFmtId="0" fontId="92" fillId="0" borderId="0"/>
    <xf numFmtId="191" fontId="92" fillId="0" borderId="0" applyBorder="0" applyProtection="0"/>
    <xf numFmtId="0" fontId="60" fillId="0" borderId="0" applyNumberFormat="0" applyFill="0" applyBorder="0" applyAlignment="0" applyProtection="0"/>
    <xf numFmtId="0" fontId="52" fillId="16" borderId="0" applyNumberFormat="0" applyBorder="0" applyAlignment="0" applyProtection="0"/>
    <xf numFmtId="0" fontId="70" fillId="0" borderId="114" applyNumberFormat="0" applyFill="0" applyAlignment="0" applyProtection="0"/>
    <xf numFmtId="0" fontId="71" fillId="0" borderId="115" applyNumberFormat="0" applyFill="0" applyAlignment="0" applyProtection="0"/>
    <xf numFmtId="0" fontId="72" fillId="0" borderId="116" applyNumberFormat="0" applyFill="0" applyAlignment="0" applyProtection="0"/>
    <xf numFmtId="0" fontId="72" fillId="0" borderId="0" applyNumberFormat="0" applyFill="0" applyBorder="0" applyAlignment="0" applyProtection="0"/>
    <xf numFmtId="0" fontId="56"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57" fillId="15" borderId="0" applyNumberFormat="0" applyBorder="0" applyAlignment="0" applyProtection="0"/>
    <xf numFmtId="0" fontId="57" fillId="15" borderId="0" applyNumberFormat="0" applyBorder="0" applyAlignment="0" applyProtection="0"/>
    <xf numFmtId="0" fontId="83" fillId="15" borderId="0" applyNumberFormat="0" applyFont="0" applyFill="0" applyProtection="0"/>
    <xf numFmtId="0" fontId="83" fillId="15" borderId="0" applyNumberFormat="0" applyFont="0" applyFill="0" applyProtection="0"/>
    <xf numFmtId="0" fontId="57" fillId="17" borderId="0" applyNumberFormat="0" applyBorder="0" applyAlignment="0" applyProtection="0"/>
    <xf numFmtId="0" fontId="83" fillId="15" borderId="0" applyNumberFormat="0" applyFont="0" applyFill="0" applyProtection="0"/>
    <xf numFmtId="0" fontId="57" fillId="15" borderId="0" applyNumberFormat="0" applyBorder="0" applyAlignment="0" applyProtection="0"/>
    <xf numFmtId="0" fontId="83" fillId="15" borderId="0" applyNumberFormat="0" applyFont="0" applyFill="0" applyProtection="0"/>
    <xf numFmtId="0" fontId="55" fillId="19" borderId="108" applyNumberFormat="0" applyAlignment="0" applyProtection="0"/>
    <xf numFmtId="0" fontId="67" fillId="0" borderId="112" applyNumberFormat="0" applyFill="0" applyAlignment="0" applyProtection="0"/>
    <xf numFmtId="164" fontId="5" fillId="0" borderId="0" applyFont="0" applyFill="0" applyBorder="0" applyAlignment="0" applyProtection="0"/>
    <xf numFmtId="44" fontId="5" fillId="0" borderId="0" applyFont="0" applyFill="0" applyBorder="0" applyAlignment="0" applyProtection="0"/>
    <xf numFmtId="182" fontId="5" fillId="0" borderId="0" applyFont="0" applyFill="0" applyBorder="0" applyAlignment="0" applyProtection="0"/>
    <xf numFmtId="44" fontId="50" fillId="0" borderId="0" applyFont="0" applyFill="0" applyBorder="0" applyAlignment="0" applyProtection="0"/>
    <xf numFmtId="190" fontId="50" fillId="0" borderId="0" applyFont="0" applyFill="0" applyBorder="0" applyAlignment="0" applyProtection="0"/>
    <xf numFmtId="44" fontId="50" fillId="0" borderId="0" applyFont="0" applyFill="0" applyBorder="0" applyAlignment="0" applyProtection="0"/>
    <xf numFmtId="182"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182" fontId="50"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68" fillId="25" borderId="0" applyNumberFormat="0" applyBorder="0" applyAlignment="0" applyProtection="0"/>
    <xf numFmtId="0" fontId="68" fillId="25" borderId="0" applyNumberFormat="0" applyBorder="0" applyAlignment="0" applyProtection="0"/>
    <xf numFmtId="0" fontId="84" fillId="22" borderId="0" applyNumberFormat="0" applyFont="0" applyFill="0" applyProtection="0"/>
    <xf numFmtId="0" fontId="84" fillId="22" borderId="0" applyNumberFormat="0" applyFont="0" applyFill="0" applyProtection="0"/>
    <xf numFmtId="0" fontId="58" fillId="25" borderId="0" applyNumberFormat="0" applyBorder="0" applyAlignment="0" applyProtection="0"/>
    <xf numFmtId="0" fontId="84" fillId="22" borderId="0" applyNumberFormat="0" applyFont="0" applyFill="0" applyProtection="0"/>
    <xf numFmtId="0" fontId="68" fillId="25" borderId="0" applyNumberFormat="0" applyBorder="0" applyAlignment="0" applyProtection="0"/>
    <xf numFmtId="0" fontId="84" fillId="22" borderId="0" applyNumberFormat="0" applyFont="0" applyFill="0" applyProtection="0"/>
    <xf numFmtId="0" fontId="68" fillId="2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0" borderId="0"/>
    <xf numFmtId="0" fontId="5" fillId="0" borderId="0">
      <alignment horizontal="left" wrapText="1"/>
    </xf>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0" fillId="0" borderId="0"/>
    <xf numFmtId="0" fontId="50" fillId="0" borderId="0"/>
    <xf numFmtId="0" fontId="50"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1" fillId="0" borderId="0"/>
    <xf numFmtId="0" fontId="5" fillId="0" borderId="0"/>
    <xf numFmtId="0" fontId="50" fillId="0" borderId="0"/>
    <xf numFmtId="0" fontId="5" fillId="0" borderId="0"/>
    <xf numFmtId="0" fontId="50"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0" fillId="0" borderId="0"/>
    <xf numFmtId="0" fontId="50" fillId="0" borderId="0"/>
    <xf numFmtId="0" fontId="50"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85" fillId="0" borderId="0" applyNumberFormat="0" applyFill="0" applyBorder="0" applyProtection="0">
      <alignment vertical="top" wrapText="1"/>
    </xf>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0" fillId="0" borderId="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36" fillId="22" borderId="117" applyNumberFormat="0" applyFont="0" applyAlignment="0" applyProtection="0"/>
    <xf numFmtId="0" fontId="50" fillId="22" borderId="117" applyNumberFormat="0" applyFont="0" applyAlignment="0" applyProtection="0"/>
    <xf numFmtId="0" fontId="5" fillId="22" borderId="117" applyNumberFormat="0" applyFont="0" applyBorder="0" applyProtection="0"/>
    <xf numFmtId="0" fontId="36" fillId="22" borderId="117" applyNumberFormat="0" applyFont="0" applyAlignment="0" applyProtection="0"/>
    <xf numFmtId="0" fontId="36"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 fillId="22" borderId="117" applyNumberFormat="0" applyFont="0" applyBorder="0" applyProtection="0"/>
    <xf numFmtId="0" fontId="36"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 fillId="22" borderId="117" applyNumberFormat="0" applyFont="0" applyAlignment="0" applyProtection="0"/>
    <xf numFmtId="0" fontId="59" fillId="37" borderId="118" applyNumberFormat="0" applyAlignment="0" applyProtection="0"/>
    <xf numFmtId="0" fontId="74" fillId="0" borderId="119" applyNumberFormat="0" applyFont="0" applyBorder="0" applyAlignment="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0"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0"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9" fillId="37" borderId="118" applyNumberFormat="0" applyAlignment="0" applyProtection="0"/>
    <xf numFmtId="0" fontId="59" fillId="37" borderId="118" applyNumberFormat="0" applyAlignment="0" applyProtection="0"/>
    <xf numFmtId="0" fontId="86" fillId="39" borderId="120" applyNumberFormat="0" applyFont="0" applyProtection="0"/>
    <xf numFmtId="0" fontId="59" fillId="37" borderId="118" applyNumberFormat="0" applyAlignment="0" applyProtection="0"/>
    <xf numFmtId="0" fontId="59" fillId="38" borderId="118" applyNumberFormat="0" applyAlignment="0" applyProtection="0"/>
    <xf numFmtId="0" fontId="86" fillId="39" borderId="120" applyNumberFormat="0" applyFont="0" applyProtection="0"/>
    <xf numFmtId="0" fontId="59" fillId="37" borderId="118" applyNumberFormat="0" applyAlignment="0" applyProtection="0"/>
    <xf numFmtId="0" fontId="86" fillId="39" borderId="120" applyNumberFormat="0" applyFo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91"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75" fillId="0" borderId="0" applyNumberFormat="0" applyFont="0" applyFill="0" applyAlignment="0" applyProtection="0"/>
    <xf numFmtId="0" fontId="75" fillId="0" borderId="0" applyNumberFormat="0" applyFont="0" applyFill="0" applyAlignment="0" applyProtection="0"/>
    <xf numFmtId="0" fontId="34" fillId="0" borderId="0" applyNumberFormat="0" applyFill="0" applyBorder="0" applyAlignment="0" applyProtection="0"/>
    <xf numFmtId="0" fontId="75" fillId="0" borderId="0" applyNumberFormat="0" applyFont="0" applyFill="0" applyAlignment="0" applyProtection="0"/>
    <xf numFmtId="0" fontId="34" fillId="0" borderId="0" applyNumberFormat="0" applyFill="0" applyBorder="0" applyAlignment="0" applyProtection="0"/>
    <xf numFmtId="0" fontId="75" fillId="0" borderId="0" applyNumberFormat="0" applyFon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87" fillId="0" borderId="0" applyNumberFormat="0" applyFont="0" applyFill="0" applyAlignment="0" applyProtection="0"/>
    <xf numFmtId="0" fontId="87" fillId="0" borderId="0" applyNumberFormat="0" applyFont="0" applyFill="0" applyAlignment="0" applyProtection="0"/>
    <xf numFmtId="0" fontId="60" fillId="0" borderId="0" applyNumberFormat="0" applyFill="0" applyBorder="0" applyAlignment="0" applyProtection="0"/>
    <xf numFmtId="0" fontId="87" fillId="0" borderId="0" applyNumberFormat="0" applyFont="0" applyFill="0" applyAlignment="0" applyProtection="0"/>
    <xf numFmtId="0" fontId="60" fillId="0" borderId="0" applyNumberFormat="0" applyFill="0" applyBorder="0" applyAlignment="0" applyProtection="0"/>
    <xf numFmtId="0" fontId="87" fillId="0" borderId="0" applyNumberFormat="0" applyFont="0" applyFill="0" applyAlignment="0" applyProtection="0"/>
    <xf numFmtId="0" fontId="69" fillId="0" borderId="0" applyNumberFormat="0" applyFill="0" applyBorder="0" applyAlignment="0" applyProtection="0"/>
    <xf numFmtId="0" fontId="70" fillId="0" borderId="114" applyNumberFormat="0" applyFill="0" applyAlignment="0" applyProtection="0"/>
    <xf numFmtId="0" fontId="70" fillId="0" borderId="114" applyNumberFormat="0" applyFill="0" applyAlignment="0" applyProtection="0"/>
    <xf numFmtId="0" fontId="88" fillId="0" borderId="122" applyNumberFormat="0" applyFont="0" applyAlignment="0" applyProtection="0"/>
    <xf numFmtId="0" fontId="70" fillId="0" borderId="114" applyNumberFormat="0" applyFill="0" applyAlignment="0" applyProtection="0"/>
    <xf numFmtId="0" fontId="62" fillId="0" borderId="121" applyNumberFormat="0" applyFill="0" applyAlignment="0" applyProtection="0"/>
    <xf numFmtId="0" fontId="88" fillId="0" borderId="122" applyNumberFormat="0" applyFont="0" applyAlignment="0" applyProtection="0"/>
    <xf numFmtId="0" fontId="70" fillId="0" borderId="114" applyNumberFormat="0" applyFill="0" applyAlignment="0" applyProtection="0"/>
    <xf numFmtId="0" fontId="88" fillId="0" borderId="122" applyNumberFormat="0" applyFont="0" applyAlignment="0" applyProtection="0"/>
    <xf numFmtId="0" fontId="89" fillId="0" borderId="0" applyNumberFormat="0" applyFont="0" applyFill="0" applyAlignment="0" applyProtection="0"/>
    <xf numFmtId="0" fontId="71" fillId="0" borderId="115" applyNumberFormat="0" applyFill="0" applyAlignment="0" applyProtection="0"/>
    <xf numFmtId="0" fontId="71" fillId="0" borderId="115" applyNumberFormat="0" applyFill="0" applyAlignment="0" applyProtection="0"/>
    <xf numFmtId="0" fontId="90" fillId="0" borderId="115" applyNumberFormat="0" applyFont="0" applyAlignment="0" applyProtection="0"/>
    <xf numFmtId="0" fontId="71" fillId="0" borderId="115" applyNumberFormat="0" applyFill="0" applyAlignment="0" applyProtection="0"/>
    <xf numFmtId="0" fontId="63" fillId="0" borderId="123" applyNumberFormat="0" applyFill="0" applyAlignment="0" applyProtection="0"/>
    <xf numFmtId="0" fontId="90" fillId="0" borderId="115" applyNumberFormat="0" applyFont="0" applyAlignment="0" applyProtection="0"/>
    <xf numFmtId="0" fontId="71" fillId="0" borderId="115" applyNumberFormat="0" applyFill="0" applyAlignment="0" applyProtection="0"/>
    <xf numFmtId="0" fontId="90" fillId="0" borderId="115" applyNumberFormat="0" applyFont="0" applyAlignment="0" applyProtection="0"/>
    <xf numFmtId="0" fontId="72" fillId="0" borderId="116" applyNumberFormat="0" applyFill="0" applyAlignment="0" applyProtection="0"/>
    <xf numFmtId="0" fontId="72" fillId="0" borderId="116" applyNumberFormat="0" applyFill="0" applyAlignment="0" applyProtection="0"/>
    <xf numFmtId="0" fontId="91" fillId="0" borderId="122" applyNumberFormat="0" applyFont="0" applyAlignment="0" applyProtection="0"/>
    <xf numFmtId="0" fontId="72" fillId="0" borderId="116" applyNumberFormat="0" applyFill="0" applyAlignment="0" applyProtection="0"/>
    <xf numFmtId="0" fontId="64" fillId="0" borderId="124" applyNumberFormat="0" applyFill="0" applyAlignment="0" applyProtection="0"/>
    <xf numFmtId="0" fontId="91" fillId="0" borderId="122" applyNumberFormat="0" applyFont="0" applyAlignment="0" applyProtection="0"/>
    <xf numFmtId="0" fontId="72" fillId="0" borderId="116" applyNumberFormat="0" applyFill="0" applyAlignment="0" applyProtection="0"/>
    <xf numFmtId="0" fontId="91" fillId="0" borderId="122" applyNumberFormat="0" applyFont="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64" fillId="0" borderId="0" applyNumberFormat="0" applyFill="0" applyBorder="0" applyAlignment="0" applyProtection="0"/>
    <xf numFmtId="0" fontId="91" fillId="0" borderId="0" applyNumberFormat="0" applyFont="0" applyFill="0" applyAlignment="0" applyProtection="0"/>
    <xf numFmtId="0" fontId="72" fillId="0" borderId="0" applyNumberFormat="0" applyFill="0" applyBorder="0" applyAlignment="0" applyProtection="0"/>
    <xf numFmtId="0" fontId="91" fillId="0" borderId="0" applyNumberFormat="0" applyFont="0" applyFill="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89" fillId="0" borderId="0" applyNumberFormat="0" applyFont="0" applyFill="0" applyAlignment="0" applyProtection="0"/>
    <xf numFmtId="0" fontId="89" fillId="0" borderId="0" applyNumberFormat="0" applyFont="0" applyFill="0" applyAlignment="0" applyProtection="0"/>
    <xf numFmtId="0" fontId="61" fillId="0" borderId="0" applyNumberFormat="0" applyFill="0" applyBorder="0" applyAlignment="0" applyProtection="0"/>
    <xf numFmtId="0" fontId="89" fillId="0" borderId="0" applyNumberFormat="0" applyFont="0" applyFill="0" applyAlignment="0" applyProtection="0"/>
    <xf numFmtId="0" fontId="69" fillId="0" borderId="0" applyNumberFormat="0" applyFill="0" applyBorder="0" applyAlignment="0" applyProtection="0"/>
    <xf numFmtId="0" fontId="89" fillId="0" borderId="0" applyNumberFormat="0" applyFont="0" applyFill="0" applyAlignment="0" applyProtection="0"/>
    <xf numFmtId="0" fontId="65" fillId="0" borderId="126" applyNumberFormat="0" applyFill="0" applyAlignment="0" applyProtection="0"/>
    <xf numFmtId="0" fontId="65" fillId="0" borderId="126" applyNumberFormat="0" applyFill="0" applyAlignment="0" applyProtection="0"/>
    <xf numFmtId="0" fontId="8" fillId="0" borderId="127" applyNumberFormat="0" applyFont="0" applyAlignment="0" applyProtection="0"/>
    <xf numFmtId="0" fontId="65" fillId="0" borderId="126" applyNumberFormat="0" applyFill="0" applyAlignment="0" applyProtection="0"/>
    <xf numFmtId="0" fontId="65" fillId="0" borderId="125" applyNumberFormat="0" applyFill="0" applyAlignment="0" applyProtection="0"/>
    <xf numFmtId="0" fontId="8" fillId="0" borderId="127" applyNumberFormat="0" applyFont="0" applyAlignment="0" applyProtection="0"/>
    <xf numFmtId="0" fontId="65" fillId="0" borderId="126" applyNumberFormat="0" applyFill="0" applyAlignment="0" applyProtection="0"/>
    <xf numFmtId="0" fontId="8" fillId="0" borderId="127" applyNumberFormat="0" applyFont="0" applyAlignment="0" applyProtection="0"/>
    <xf numFmtId="0" fontId="65" fillId="0" borderId="126" applyNumberFormat="0" applyFill="0" applyAlignment="0" applyProtection="0"/>
    <xf numFmtId="43" fontId="5" fillId="0" borderId="0" applyFont="0" applyFill="0" applyBorder="0" applyAlignment="0" applyProtection="0"/>
    <xf numFmtId="43" fontId="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0" borderId="0" applyNumberFormat="0" applyFill="0" applyBorder="0" applyAlignment="0" applyProtection="0"/>
    <xf numFmtId="0" fontId="95" fillId="0" borderId="0" applyNumberFormat="0" applyFill="0" applyBorder="0" applyAlignment="0" applyProtection="0">
      <alignment vertical="top"/>
      <protection locked="0"/>
    </xf>
  </cellStyleXfs>
  <cellXfs count="828">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6" fontId="8" fillId="3" borderId="12" xfId="4" applyFont="1" applyFill="1" applyBorder="1" applyAlignment="1">
      <alignment vertical="center"/>
    </xf>
    <xf numFmtId="166" fontId="5" fillId="3" borderId="0" xfId="4" applyFont="1" applyFill="1" applyBorder="1" applyAlignment="1">
      <alignment vertical="center"/>
    </xf>
    <xf numFmtId="0" fontId="8" fillId="3" borderId="0" xfId="5" applyFont="1" applyFill="1" applyAlignment="1">
      <alignment horizontal="left"/>
    </xf>
    <xf numFmtId="166" fontId="8" fillId="3" borderId="0" xfId="4" applyFont="1" applyFill="1" applyBorder="1" applyAlignment="1">
      <alignment horizontal="right"/>
    </xf>
    <xf numFmtId="168"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6" fontId="8" fillId="3" borderId="12" xfId="4" applyFont="1" applyFill="1" applyBorder="1" applyAlignment="1">
      <alignment horizontal="center" wrapText="1"/>
    </xf>
    <xf numFmtId="166" fontId="8" fillId="3" borderId="12" xfId="4" applyFont="1" applyFill="1" applyBorder="1" applyAlignment="1">
      <alignment horizontal="center" vertical="center" wrapText="1"/>
    </xf>
    <xf numFmtId="166" fontId="8" fillId="3" borderId="12" xfId="4" applyFont="1" applyFill="1" applyBorder="1" applyAlignment="1">
      <alignment horizontal="center" vertical="top" wrapText="1"/>
    </xf>
    <xf numFmtId="0" fontId="5" fillId="3" borderId="12" xfId="3" applyFill="1" applyBorder="1" applyAlignment="1">
      <alignment vertical="center" wrapText="1"/>
    </xf>
    <xf numFmtId="166" fontId="5" fillId="3" borderId="12" xfId="4" applyFont="1" applyFill="1" applyBorder="1" applyAlignment="1">
      <alignment horizontal="center" vertical="center"/>
    </xf>
    <xf numFmtId="166" fontId="5" fillId="3" borderId="12" xfId="4" applyFont="1" applyFill="1" applyBorder="1" applyAlignment="1">
      <alignment horizontal="right" vertical="center"/>
    </xf>
    <xf numFmtId="0" fontId="5" fillId="3" borderId="12" xfId="5" applyFill="1" applyBorder="1" applyAlignment="1">
      <alignment vertical="center"/>
    </xf>
    <xf numFmtId="166" fontId="5" fillId="3" borderId="12" xfId="4" applyFont="1" applyFill="1" applyBorder="1" applyAlignment="1">
      <alignment vertical="center"/>
    </xf>
    <xf numFmtId="166" fontId="5" fillId="3" borderId="12" xfId="4" applyFont="1" applyFill="1" applyBorder="1" applyAlignment="1">
      <alignment horizontal="left" vertical="center"/>
    </xf>
    <xf numFmtId="166" fontId="8" fillId="3" borderId="12" xfId="4" applyFont="1" applyFill="1" applyBorder="1" applyAlignment="1">
      <alignment horizontal="right" vertical="center"/>
    </xf>
    <xf numFmtId="166" fontId="8" fillId="3" borderId="12" xfId="4" applyFont="1" applyFill="1" applyBorder="1" applyAlignment="1">
      <alignment horizontal="center" vertical="center"/>
    </xf>
    <xf numFmtId="166" fontId="5" fillId="3" borderId="0" xfId="4" applyFont="1" applyFill="1" applyBorder="1" applyAlignment="1">
      <alignment horizontal="center" vertical="center"/>
    </xf>
    <xf numFmtId="0" fontId="5" fillId="3" borderId="12" xfId="5" applyFill="1" applyBorder="1" applyAlignment="1">
      <alignment horizontal="left"/>
    </xf>
    <xf numFmtId="167"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6" fontId="5" fillId="3" borderId="21" xfId="4" applyFont="1" applyFill="1" applyBorder="1" applyAlignment="1" applyProtection="1">
      <alignment vertical="center" wrapText="1"/>
    </xf>
    <xf numFmtId="166" fontId="5" fillId="3" borderId="22" xfId="4" applyFont="1" applyFill="1" applyBorder="1" applyAlignment="1" applyProtection="1">
      <alignment vertical="center" wrapText="1"/>
    </xf>
    <xf numFmtId="166" fontId="5" fillId="3" borderId="23" xfId="4" applyFont="1" applyFill="1" applyBorder="1" applyAlignment="1" applyProtection="1">
      <alignment vertical="center" wrapText="1"/>
    </xf>
    <xf numFmtId="166"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6"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2" fontId="23" fillId="0" borderId="0" xfId="10" applyNumberFormat="1" applyFont="1"/>
    <xf numFmtId="172" fontId="23" fillId="0" borderId="0" xfId="10" applyNumberFormat="1" applyFont="1" applyAlignment="1">
      <alignment vertical="center"/>
    </xf>
    <xf numFmtId="172" fontId="15" fillId="0" borderId="0" xfId="10" applyNumberFormat="1" applyFont="1" applyAlignment="1">
      <alignment vertical="center"/>
    </xf>
    <xf numFmtId="172" fontId="22" fillId="3" borderId="30" xfId="10" applyNumberFormat="1" applyFont="1" applyFill="1" applyBorder="1" applyAlignment="1">
      <alignment vertical="center"/>
    </xf>
    <xf numFmtId="172" fontId="23" fillId="3" borderId="30" xfId="10" applyNumberFormat="1" applyFont="1" applyFill="1" applyBorder="1" applyAlignment="1">
      <alignment vertical="center"/>
    </xf>
    <xf numFmtId="172" fontId="22" fillId="3" borderId="30" xfId="10" applyNumberFormat="1" applyFont="1" applyFill="1" applyBorder="1" applyAlignment="1">
      <alignment horizontal="right" vertical="center"/>
    </xf>
    <xf numFmtId="173" fontId="22" fillId="3" borderId="30" xfId="11" applyNumberFormat="1" applyFont="1" applyFill="1" applyBorder="1" applyAlignment="1" applyProtection="1">
      <alignment horizontal="right" vertical="center"/>
    </xf>
    <xf numFmtId="172" fontId="22" fillId="3" borderId="30" xfId="10" applyNumberFormat="1" applyFont="1" applyFill="1" applyBorder="1" applyAlignment="1">
      <alignment horizontal="left" vertical="center"/>
    </xf>
    <xf numFmtId="172" fontId="23" fillId="3" borderId="33" xfId="10" applyNumberFormat="1" applyFont="1" applyFill="1" applyBorder="1" applyAlignment="1">
      <alignment vertical="center"/>
    </xf>
    <xf numFmtId="172" fontId="22" fillId="3" borderId="33" xfId="10" applyNumberFormat="1" applyFont="1" applyFill="1" applyBorder="1" applyAlignment="1">
      <alignment horizontal="right" vertical="center"/>
    </xf>
    <xf numFmtId="172" fontId="22" fillId="3" borderId="32" xfId="10" applyNumberFormat="1" applyFont="1" applyFill="1" applyBorder="1" applyAlignment="1">
      <alignment vertical="center"/>
    </xf>
    <xf numFmtId="172" fontId="22" fillId="3" borderId="32" xfId="10" applyNumberFormat="1" applyFont="1" applyFill="1" applyBorder="1" applyAlignment="1">
      <alignment horizontal="center" vertical="center"/>
    </xf>
    <xf numFmtId="172" fontId="23" fillId="3" borderId="0" xfId="10" applyNumberFormat="1" applyFont="1" applyFill="1" applyAlignment="1">
      <alignment vertical="center"/>
    </xf>
    <xf numFmtId="172" fontId="25" fillId="3" borderId="0" xfId="10" applyNumberFormat="1" applyFont="1" applyFill="1" applyAlignment="1">
      <alignment vertical="center"/>
    </xf>
    <xf numFmtId="172"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2" fontId="15" fillId="3" borderId="0" xfId="10" applyNumberFormat="1" applyFont="1" applyFill="1" applyAlignment="1">
      <alignment horizontal="left" vertical="center"/>
    </xf>
    <xf numFmtId="175" fontId="15" fillId="3" borderId="0" xfId="11" applyNumberFormat="1" applyFont="1" applyFill="1" applyBorder="1" applyAlignment="1" applyProtection="1">
      <alignment horizontal="center" vertical="center"/>
    </xf>
    <xf numFmtId="172" fontId="22" fillId="3" borderId="31" xfId="10" applyNumberFormat="1" applyFont="1" applyFill="1" applyBorder="1" applyAlignment="1">
      <alignment vertical="center"/>
    </xf>
    <xf numFmtId="172" fontId="22" fillId="3" borderId="31" xfId="10" applyNumberFormat="1" applyFont="1" applyFill="1" applyBorder="1" applyAlignment="1">
      <alignment horizontal="center" vertical="center"/>
    </xf>
    <xf numFmtId="175" fontId="15" fillId="3" borderId="0" xfId="11" applyNumberFormat="1" applyFont="1" applyFill="1" applyBorder="1" applyAlignment="1" applyProtection="1">
      <alignment vertical="center"/>
    </xf>
    <xf numFmtId="176" fontId="15" fillId="3" borderId="0" xfId="11" applyNumberFormat="1" applyFont="1" applyFill="1" applyBorder="1" applyAlignment="1" applyProtection="1">
      <alignment horizontal="right" vertical="center"/>
    </xf>
    <xf numFmtId="177" fontId="15" fillId="3" borderId="0" xfId="12" applyNumberFormat="1" applyFont="1" applyFill="1" applyBorder="1" applyAlignment="1" applyProtection="1">
      <alignment vertical="center"/>
    </xf>
    <xf numFmtId="173" fontId="23" fillId="3" borderId="0" xfId="11" applyNumberFormat="1" applyFont="1" applyFill="1" applyBorder="1" applyAlignment="1" applyProtection="1">
      <alignment vertical="center"/>
    </xf>
    <xf numFmtId="172" fontId="22" fillId="3" borderId="34" xfId="10" applyNumberFormat="1" applyFont="1" applyFill="1" applyBorder="1" applyAlignment="1">
      <alignment vertical="center"/>
    </xf>
    <xf numFmtId="172" fontId="22" fillId="3" borderId="34" xfId="10" applyNumberFormat="1" applyFont="1" applyFill="1" applyBorder="1" applyAlignment="1">
      <alignment horizontal="center" vertical="center"/>
    </xf>
    <xf numFmtId="175" fontId="23" fillId="3" borderId="0" xfId="11" applyNumberFormat="1" applyFont="1" applyFill="1" applyBorder="1" applyAlignment="1" applyProtection="1">
      <alignment vertical="center"/>
    </xf>
    <xf numFmtId="172" fontId="23" fillId="3" borderId="0" xfId="10" applyNumberFormat="1" applyFont="1" applyFill="1" applyAlignment="1">
      <alignment horizontal="center" vertical="center"/>
    </xf>
    <xf numFmtId="172" fontId="23" fillId="3" borderId="29" xfId="10" applyNumberFormat="1" applyFont="1" applyFill="1" applyBorder="1" applyAlignment="1">
      <alignment vertical="center"/>
    </xf>
    <xf numFmtId="172" fontId="22" fillId="3" borderId="29" xfId="10" applyNumberFormat="1" applyFont="1" applyFill="1" applyBorder="1" applyAlignment="1">
      <alignment horizontal="right" vertical="center"/>
    </xf>
    <xf numFmtId="172" fontId="25" fillId="3" borderId="7" xfId="10" applyNumberFormat="1" applyFont="1" applyFill="1" applyBorder="1" applyAlignment="1">
      <alignment vertical="center"/>
    </xf>
    <xf numFmtId="172" fontId="15" fillId="3" borderId="7" xfId="10" applyNumberFormat="1" applyFont="1" applyFill="1" applyBorder="1" applyAlignment="1">
      <alignment vertical="center"/>
    </xf>
    <xf numFmtId="172" fontId="15" fillId="3" borderId="7" xfId="10" applyNumberFormat="1" applyFont="1" applyFill="1" applyBorder="1" applyAlignment="1">
      <alignment horizontal="left" vertical="center"/>
    </xf>
    <xf numFmtId="174" fontId="23" fillId="3" borderId="7" xfId="10" applyNumberFormat="1" applyFont="1" applyFill="1" applyBorder="1" applyAlignment="1">
      <alignment horizontal="right" vertical="center"/>
    </xf>
    <xf numFmtId="175" fontId="15" fillId="3" borderId="7" xfId="11" applyNumberFormat="1" applyFont="1" applyFill="1" applyBorder="1" applyAlignment="1" applyProtection="1">
      <alignment horizontal="center" vertical="center"/>
    </xf>
    <xf numFmtId="174" fontId="23" fillId="3" borderId="35" xfId="10" applyNumberFormat="1" applyFont="1" applyFill="1" applyBorder="1" applyAlignment="1">
      <alignment horizontal="center" vertical="center"/>
    </xf>
    <xf numFmtId="172" fontId="23" fillId="3" borderId="35" xfId="10" applyNumberFormat="1" applyFont="1" applyFill="1" applyBorder="1" applyAlignment="1">
      <alignment horizontal="center" vertical="center"/>
    </xf>
    <xf numFmtId="173" fontId="23" fillId="3" borderId="35" xfId="11" applyNumberFormat="1" applyFont="1" applyFill="1" applyBorder="1" applyAlignment="1" applyProtection="1">
      <alignment horizontal="center" vertical="center"/>
    </xf>
    <xf numFmtId="172" fontId="22" fillId="3" borderId="0" xfId="10" applyNumberFormat="1" applyFont="1" applyFill="1" applyAlignment="1">
      <alignment vertical="center"/>
    </xf>
    <xf numFmtId="172" fontId="22" fillId="3" borderId="0" xfId="10" applyNumberFormat="1" applyFont="1" applyFill="1" applyAlignment="1">
      <alignment horizontal="center" vertical="center"/>
    </xf>
    <xf numFmtId="172" fontId="15" fillId="3" borderId="0" xfId="10" applyNumberFormat="1" applyFont="1" applyFill="1" applyAlignment="1">
      <alignment horizontal="center" vertical="center"/>
    </xf>
    <xf numFmtId="172" fontId="15" fillId="3" borderId="0" xfId="10" applyNumberFormat="1" applyFont="1" applyFill="1" applyAlignment="1">
      <alignment vertical="center"/>
    </xf>
    <xf numFmtId="172" fontId="22" fillId="3" borderId="36" xfId="10" applyNumberFormat="1" applyFont="1" applyFill="1" applyBorder="1" applyAlignment="1">
      <alignment vertical="center"/>
    </xf>
    <xf numFmtId="172" fontId="22" fillId="3" borderId="36" xfId="10" applyNumberFormat="1" applyFont="1" applyFill="1" applyBorder="1" applyAlignment="1">
      <alignment horizontal="center" vertical="center"/>
    </xf>
    <xf numFmtId="174" fontId="23" fillId="3" borderId="7" xfId="10" applyNumberFormat="1" applyFont="1" applyFill="1" applyBorder="1" applyAlignment="1">
      <alignment horizontal="center" vertical="center"/>
    </xf>
    <xf numFmtId="172" fontId="23" fillId="3" borderId="7" xfId="10" applyNumberFormat="1" applyFont="1" applyFill="1" applyBorder="1" applyAlignment="1">
      <alignment horizontal="center" vertical="center"/>
    </xf>
    <xf numFmtId="173" fontId="23" fillId="3" borderId="7" xfId="11" applyNumberFormat="1" applyFont="1" applyFill="1" applyBorder="1" applyAlignment="1" applyProtection="1">
      <alignment horizontal="center" vertical="center"/>
    </xf>
    <xf numFmtId="172" fontId="22" fillId="3" borderId="35" xfId="10" applyNumberFormat="1" applyFont="1" applyFill="1" applyBorder="1" applyAlignment="1">
      <alignment vertical="center"/>
    </xf>
    <xf numFmtId="172" fontId="22" fillId="3" borderId="35" xfId="10" applyNumberFormat="1" applyFont="1" applyFill="1" applyBorder="1" applyAlignment="1">
      <alignment horizontal="center" vertical="center"/>
    </xf>
    <xf numFmtId="172" fontId="18" fillId="3" borderId="37" xfId="10" applyNumberFormat="1" applyFont="1" applyFill="1" applyBorder="1"/>
    <xf numFmtId="172" fontId="18" fillId="3" borderId="38" xfId="10" applyNumberFormat="1" applyFont="1" applyFill="1" applyBorder="1"/>
    <xf numFmtId="172" fontId="19" fillId="3" borderId="38" xfId="10" applyNumberFormat="1" applyFont="1" applyFill="1" applyBorder="1"/>
    <xf numFmtId="172" fontId="20" fillId="3" borderId="39" xfId="10" applyNumberFormat="1" applyFont="1" applyFill="1" applyBorder="1" applyAlignment="1">
      <alignment horizontal="right"/>
    </xf>
    <xf numFmtId="172" fontId="21" fillId="3" borderId="40" xfId="10" applyNumberFormat="1" applyFont="1" applyFill="1" applyBorder="1"/>
    <xf numFmtId="172" fontId="19" fillId="3" borderId="0" xfId="10" applyNumberFormat="1" applyFont="1" applyFill="1"/>
    <xf numFmtId="172" fontId="20" fillId="3" borderId="0" xfId="10" applyNumberFormat="1" applyFont="1" applyFill="1"/>
    <xf numFmtId="172" fontId="18" fillId="3" borderId="0" xfId="10" applyNumberFormat="1" applyFont="1" applyFill="1"/>
    <xf numFmtId="172" fontId="20" fillId="3" borderId="41" xfId="10" applyNumberFormat="1" applyFont="1" applyFill="1" applyBorder="1" applyAlignment="1">
      <alignment horizontal="right"/>
    </xf>
    <xf numFmtId="172" fontId="22" fillId="3" borderId="42" xfId="10" applyNumberFormat="1" applyFont="1" applyFill="1" applyBorder="1" applyAlignment="1">
      <alignment vertical="center"/>
    </xf>
    <xf numFmtId="172" fontId="24" fillId="3" borderId="43" xfId="10" applyNumberFormat="1" applyFont="1" applyFill="1" applyBorder="1" applyAlignment="1">
      <alignment vertical="center"/>
    </xf>
    <xf numFmtId="172"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2" fontId="22" fillId="3" borderId="46" xfId="10" applyNumberFormat="1" applyFont="1" applyFill="1" applyBorder="1" applyAlignment="1">
      <alignment vertical="center"/>
    </xf>
    <xf numFmtId="172" fontId="22" fillId="3" borderId="47" xfId="10" applyNumberFormat="1" applyFont="1" applyFill="1" applyBorder="1" applyAlignment="1">
      <alignment horizontal="right" vertical="center"/>
    </xf>
    <xf numFmtId="172"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2" fontId="15" fillId="3" borderId="40" xfId="10" applyNumberFormat="1" applyFont="1" applyFill="1" applyBorder="1" applyAlignment="1">
      <alignment vertical="center"/>
    </xf>
    <xf numFmtId="174"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2"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4"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2" fontId="22" fillId="3" borderId="50" xfId="10" applyNumberFormat="1" applyFont="1" applyFill="1" applyBorder="1" applyAlignment="1">
      <alignment vertical="center"/>
    </xf>
    <xf numFmtId="172" fontId="22" fillId="3" borderId="51" xfId="10" applyNumberFormat="1" applyFont="1" applyFill="1" applyBorder="1" applyAlignment="1">
      <alignment horizontal="right" vertical="center"/>
    </xf>
    <xf numFmtId="172" fontId="23" fillId="3" borderId="40" xfId="10" applyNumberFormat="1" applyFont="1" applyFill="1" applyBorder="1"/>
    <xf numFmtId="173" fontId="23" fillId="3" borderId="41" xfId="11" applyNumberFormat="1" applyFont="1" applyFill="1" applyBorder="1" applyAlignment="1" applyProtection="1">
      <alignment vertical="center"/>
    </xf>
    <xf numFmtId="172" fontId="22" fillId="3" borderId="52" xfId="10" applyNumberFormat="1" applyFont="1" applyFill="1" applyBorder="1" applyAlignment="1">
      <alignment vertical="center"/>
    </xf>
    <xf numFmtId="172" fontId="22" fillId="3" borderId="53" xfId="10" applyNumberFormat="1" applyFont="1" applyFill="1" applyBorder="1" applyAlignment="1">
      <alignment horizontal="right" vertical="center"/>
    </xf>
    <xf numFmtId="172" fontId="23" fillId="3" borderId="40" xfId="10" applyNumberFormat="1" applyFont="1" applyFill="1" applyBorder="1" applyAlignment="1">
      <alignment horizontal="left" vertical="center"/>
    </xf>
    <xf numFmtId="173" fontId="22" fillId="3" borderId="41" xfId="11" applyNumberFormat="1" applyFont="1" applyFill="1" applyBorder="1" applyAlignment="1" applyProtection="1">
      <alignment vertical="center"/>
    </xf>
    <xf numFmtId="172"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2" fontId="23" fillId="3" borderId="56" xfId="10" applyNumberFormat="1" applyFont="1" applyFill="1" applyBorder="1" applyAlignment="1">
      <alignment vertical="center"/>
    </xf>
    <xf numFmtId="172" fontId="23" fillId="3" borderId="57" xfId="10" applyNumberFormat="1" applyFont="1" applyFill="1" applyBorder="1" applyAlignment="1">
      <alignment vertical="center"/>
    </xf>
    <xf numFmtId="172"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2" fontId="15" fillId="3" borderId="41" xfId="10" applyNumberFormat="1" applyFont="1" applyFill="1" applyBorder="1" applyAlignment="1">
      <alignment horizontal="right" vertical="center"/>
    </xf>
    <xf numFmtId="172" fontId="22" fillId="3" borderId="40" xfId="10" applyNumberFormat="1" applyFont="1" applyFill="1" applyBorder="1" applyAlignment="1">
      <alignment vertical="center"/>
    </xf>
    <xf numFmtId="172" fontId="22" fillId="3" borderId="41" xfId="10" applyNumberFormat="1" applyFont="1" applyFill="1" applyBorder="1" applyAlignment="1">
      <alignment horizontal="right" vertical="center"/>
    </xf>
    <xf numFmtId="174" fontId="25" fillId="3" borderId="49" xfId="10" applyNumberFormat="1" applyFont="1" applyFill="1" applyBorder="1" applyAlignment="1">
      <alignment horizontal="right" vertical="center"/>
    </xf>
    <xf numFmtId="174" fontId="23" fillId="3" borderId="41" xfId="10" applyNumberFormat="1" applyFont="1" applyFill="1" applyBorder="1" applyAlignment="1">
      <alignment horizontal="right" vertical="center"/>
    </xf>
    <xf numFmtId="165" fontId="22" fillId="3" borderId="41" xfId="1" applyNumberFormat="1" applyFont="1" applyFill="1" applyBorder="1" applyAlignment="1" applyProtection="1">
      <alignment vertical="center"/>
    </xf>
    <xf numFmtId="172" fontId="22" fillId="3" borderId="59" xfId="10" applyNumberFormat="1" applyFont="1" applyFill="1" applyBorder="1" applyAlignment="1">
      <alignment vertical="center"/>
    </xf>
    <xf numFmtId="172"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8"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2" fontId="22" fillId="3" borderId="61" xfId="10" applyNumberFormat="1" applyFont="1" applyFill="1" applyBorder="1" applyAlignment="1">
      <alignment vertical="center"/>
    </xf>
    <xf numFmtId="172" fontId="22" fillId="3" borderId="62" xfId="10" applyNumberFormat="1" applyFont="1" applyFill="1" applyBorder="1" applyAlignment="1">
      <alignment horizontal="right" vertical="center"/>
    </xf>
    <xf numFmtId="0" fontId="5" fillId="3" borderId="12" xfId="3" applyFill="1" applyBorder="1" applyAlignment="1">
      <alignment vertical="center"/>
    </xf>
    <xf numFmtId="175" fontId="22" fillId="3" borderId="30" xfId="11" applyNumberFormat="1" applyFont="1" applyFill="1" applyBorder="1" applyAlignment="1" applyProtection="1">
      <alignment horizontal="right" vertical="center"/>
    </xf>
    <xf numFmtId="172" fontId="23" fillId="3" borderId="38" xfId="10" applyNumberFormat="1" applyFont="1" applyFill="1" applyBorder="1"/>
    <xf numFmtId="172" fontId="25" fillId="3" borderId="0" xfId="10" applyNumberFormat="1" applyFont="1" applyFill="1" applyAlignment="1">
      <alignment horizontal="right"/>
    </xf>
    <xf numFmtId="43" fontId="23" fillId="3" borderId="41" xfId="1" applyFont="1" applyFill="1" applyBorder="1" applyAlignment="1">
      <alignment horizontal="right" vertical="center"/>
    </xf>
    <xf numFmtId="180"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6" fontId="5" fillId="3" borderId="0" xfId="4" applyFont="1" applyFill="1" applyBorder="1" applyAlignment="1">
      <alignment horizontal="right" vertical="center"/>
    </xf>
    <xf numFmtId="43" fontId="5" fillId="3" borderId="0" xfId="3" applyNumberFormat="1" applyFill="1"/>
    <xf numFmtId="166" fontId="8" fillId="3" borderId="0" xfId="4" applyFont="1" applyFill="1" applyBorder="1" applyAlignment="1">
      <alignment horizontal="center" vertical="center"/>
    </xf>
    <xf numFmtId="165"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6" fontId="9" fillId="3" borderId="0" xfId="4" applyFont="1" applyFill="1" applyBorder="1" applyAlignment="1">
      <alignment horizontal="right"/>
    </xf>
    <xf numFmtId="166"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6"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0" xfId="0" applyFill="1" applyAlignment="1">
      <alignment vertical="center"/>
    </xf>
    <xf numFmtId="0" fontId="0" fillId="3" borderId="12" xfId="0" applyFill="1" applyBorder="1" applyAlignment="1">
      <alignment horizontal="center" vertical="center"/>
    </xf>
    <xf numFmtId="0" fontId="0" fillId="3" borderId="12" xfId="0" applyFill="1" applyBorder="1" applyAlignment="1">
      <alignment vertical="center" wrapText="1"/>
    </xf>
    <xf numFmtId="43" fontId="0" fillId="3" borderId="0" xfId="0" applyNumberFormat="1" applyFill="1" applyAlignment="1">
      <alignment vertical="center"/>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5"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5"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5" fontId="0" fillId="0" borderId="12" xfId="1" applyNumberFormat="1" applyFont="1" applyBorder="1" applyAlignment="1">
      <alignment horizontal="center" vertical="center"/>
    </xf>
    <xf numFmtId="184" fontId="0" fillId="5" borderId="12" xfId="1" applyNumberFormat="1" applyFont="1" applyFill="1" applyBorder="1" applyAlignment="1">
      <alignment horizontal="center" vertical="center"/>
    </xf>
    <xf numFmtId="184"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43" fontId="39" fillId="0" borderId="12" xfId="1" applyFont="1" applyFill="1" applyBorder="1" applyAlignment="1">
      <alignment vertical="center"/>
    </xf>
    <xf numFmtId="174"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6" fontId="15" fillId="3" borderId="99" xfId="4" applyFont="1" applyFill="1" applyBorder="1" applyAlignment="1"/>
    <xf numFmtId="186" fontId="20" fillId="3" borderId="94" xfId="4" applyNumberFormat="1" applyFont="1" applyFill="1" applyBorder="1" applyAlignment="1">
      <alignment horizontal="right" vertical="center"/>
    </xf>
    <xf numFmtId="166" fontId="20" fillId="3" borderId="94" xfId="4" applyFont="1" applyFill="1" applyBorder="1" applyAlignment="1">
      <alignment vertical="center"/>
    </xf>
    <xf numFmtId="0" fontId="12" fillId="3" borderId="95" xfId="14" applyFont="1" applyFill="1" applyBorder="1" applyAlignment="1">
      <alignment horizontal="left" vertical="center"/>
    </xf>
    <xf numFmtId="0" fontId="12" fillId="3" borderId="10" xfId="14" applyFont="1" applyFill="1" applyBorder="1" applyAlignment="1">
      <alignment horizontal="left" vertical="center"/>
    </xf>
    <xf numFmtId="166" fontId="20" fillId="3" borderId="103" xfId="4" applyFont="1" applyFill="1" applyBorder="1" applyAlignment="1">
      <alignment vertical="center"/>
    </xf>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5"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7" fontId="16" fillId="3" borderId="9" xfId="14" applyNumberFormat="1" applyFont="1" applyFill="1" applyBorder="1" applyAlignment="1">
      <alignment horizontal="center" vertical="center"/>
    </xf>
    <xf numFmtId="187"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6" fontId="15" fillId="3" borderId="97" xfId="4" applyFont="1" applyFill="1" applyBorder="1" applyAlignment="1"/>
    <xf numFmtId="4" fontId="22" fillId="3" borderId="99" xfId="14" applyNumberFormat="1" applyFont="1" applyFill="1" applyBorder="1"/>
    <xf numFmtId="189" fontId="0" fillId="0" borderId="0" xfId="2" applyNumberFormat="1" applyFont="1" applyAlignment="1">
      <alignment vertical="center"/>
    </xf>
    <xf numFmtId="189" fontId="0" fillId="0" borderId="0" xfId="2" applyNumberFormat="1" applyFont="1" applyAlignment="1">
      <alignment vertical="center" wrapText="1"/>
    </xf>
    <xf numFmtId="189" fontId="0" fillId="5" borderId="12" xfId="2" applyNumberFormat="1" applyFont="1" applyFill="1" applyBorder="1" applyAlignment="1">
      <alignment vertical="center"/>
    </xf>
    <xf numFmtId="189" fontId="2" fillId="5" borderId="12" xfId="2" applyNumberFormat="1" applyFont="1" applyFill="1" applyBorder="1" applyAlignment="1">
      <alignment vertical="center"/>
    </xf>
    <xf numFmtId="189" fontId="0" fillId="0" borderId="12" xfId="2" applyNumberFormat="1" applyFont="1" applyBorder="1" applyAlignment="1">
      <alignment vertical="center"/>
    </xf>
    <xf numFmtId="189" fontId="2" fillId="0" borderId="12" xfId="2" applyNumberFormat="1" applyFont="1" applyBorder="1" applyAlignment="1">
      <alignment vertical="center"/>
    </xf>
    <xf numFmtId="189" fontId="0" fillId="3" borderId="12" xfId="2" applyNumberFormat="1" applyFont="1" applyFill="1" applyBorder="1" applyAlignment="1">
      <alignment vertical="center"/>
    </xf>
    <xf numFmtId="189" fontId="40" fillId="0" borderId="0" xfId="2" applyNumberFormat="1" applyFont="1" applyAlignment="1">
      <alignment vertical="center"/>
    </xf>
    <xf numFmtId="4" fontId="45" fillId="3" borderId="22" xfId="4" applyNumberFormat="1" applyFont="1" applyFill="1" applyBorder="1" applyAlignment="1" applyProtection="1">
      <alignment vertical="center"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0" borderId="4" xfId="0"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right"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0" fontId="0" fillId="7" borderId="0" xfId="0" applyFill="1" applyAlignment="1">
      <alignment vertical="center"/>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2" fillId="0" borderId="12" xfId="0" applyFont="1" applyBorder="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184" fontId="0" fillId="0" borderId="12" xfId="0" applyNumberFormat="1" applyBorder="1" applyAlignment="1">
      <alignment horizontal="center" vertical="center" wrapText="1"/>
    </xf>
    <xf numFmtId="0" fontId="48" fillId="0" borderId="9" xfId="0" applyFont="1" applyBorder="1" applyAlignment="1">
      <alignment horizontal="left" vertical="center"/>
    </xf>
    <xf numFmtId="10" fontId="48" fillId="0" borderId="12" xfId="2" applyNumberFormat="1" applyFont="1" applyBorder="1" applyAlignment="1">
      <alignment horizontal="left" vertical="center"/>
    </xf>
    <xf numFmtId="0" fontId="48" fillId="0" borderId="9" xfId="0" applyFont="1" applyBorder="1" applyAlignment="1">
      <alignment horizontal="left" vertical="center" wrapText="1"/>
    </xf>
    <xf numFmtId="10" fontId="48" fillId="0" borderId="11" xfId="2" applyNumberFormat="1" applyFont="1" applyBorder="1" applyAlignment="1">
      <alignment horizontal="left" vertical="center" wrapText="1"/>
    </xf>
    <xf numFmtId="0" fontId="48" fillId="0" borderId="12" xfId="0" applyFont="1" applyBorder="1" applyAlignment="1">
      <alignment horizontal="left" vertical="center"/>
    </xf>
    <xf numFmtId="17" fontId="48" fillId="0" borderId="11" xfId="0" applyNumberFormat="1" applyFont="1" applyBorder="1" applyAlignment="1">
      <alignment horizontal="left" vertical="center"/>
    </xf>
    <xf numFmtId="0" fontId="48" fillId="0" borderId="6" xfId="0" applyFont="1" applyBorder="1" applyAlignment="1">
      <alignment horizontal="left" vertical="center"/>
    </xf>
    <xf numFmtId="0" fontId="49" fillId="0" borderId="8" xfId="0" applyFont="1" applyBorder="1" applyAlignment="1">
      <alignment vertical="center"/>
    </xf>
    <xf numFmtId="184" fontId="0" fillId="0" borderId="12" xfId="1" applyNumberFormat="1" applyFont="1" applyFill="1" applyBorder="1" applyAlignment="1">
      <alignment horizontal="center" vertical="center"/>
    </xf>
    <xf numFmtId="10" fontId="0" fillId="0" borderId="12" xfId="2" applyNumberFormat="1" applyFont="1" applyFill="1" applyBorder="1" applyAlignment="1">
      <alignment horizontal="center" vertical="center"/>
    </xf>
    <xf numFmtId="43" fontId="0" fillId="0" borderId="12" xfId="1" applyFont="1" applyFill="1" applyBorder="1" applyAlignment="1">
      <alignment vertical="center"/>
    </xf>
    <xf numFmtId="0" fontId="0" fillId="0" borderId="0" xfId="0" applyAlignment="1">
      <alignment horizontal="center" vertical="center" wrapText="1"/>
    </xf>
    <xf numFmtId="0" fontId="46" fillId="3" borderId="12" xfId="3" applyFont="1" applyFill="1" applyBorder="1" applyAlignment="1">
      <alignment horizontal="center" vertical="center"/>
    </xf>
    <xf numFmtId="184" fontId="0" fillId="3" borderId="12" xfId="1" applyNumberFormat="1" applyFont="1" applyFill="1" applyBorder="1" applyAlignment="1">
      <alignment horizontal="center" vertical="center"/>
    </xf>
    <xf numFmtId="10" fontId="0" fillId="3" borderId="12" xfId="2" applyNumberFormat="1" applyFont="1" applyFill="1" applyBorder="1" applyAlignment="1">
      <alignment horizontal="center" vertical="center"/>
    </xf>
    <xf numFmtId="0" fontId="46" fillId="3" borderId="9" xfId="3" applyFont="1" applyFill="1" applyBorder="1" applyAlignment="1">
      <alignment horizontal="center" vertical="center"/>
    </xf>
    <xf numFmtId="0" fontId="46" fillId="3" borderId="0" xfId="0" applyFont="1" applyFill="1" applyAlignment="1">
      <alignment vertical="center" wrapText="1"/>
    </xf>
    <xf numFmtId="0" fontId="46" fillId="3" borderId="9" xfId="3" applyFont="1" applyFill="1" applyBorder="1" applyAlignment="1">
      <alignment horizontal="left" vertical="center" wrapText="1"/>
    </xf>
    <xf numFmtId="0" fontId="46" fillId="3" borderId="12" xfId="3" applyFont="1" applyFill="1" applyBorder="1" applyAlignment="1">
      <alignment horizontal="left" vertical="center" wrapText="1"/>
    </xf>
    <xf numFmtId="0" fontId="2" fillId="3" borderId="12" xfId="0" applyFont="1" applyFill="1" applyBorder="1" applyAlignment="1">
      <alignment horizontal="center" vertical="center"/>
    </xf>
    <xf numFmtId="0" fontId="2" fillId="3" borderId="12" xfId="0" applyFont="1" applyFill="1" applyBorder="1" applyAlignment="1">
      <alignment vertical="center"/>
    </xf>
    <xf numFmtId="0" fontId="2" fillId="3" borderId="12" xfId="0" applyFont="1" applyFill="1" applyBorder="1" applyAlignment="1">
      <alignment vertical="center" wrapText="1"/>
    </xf>
    <xf numFmtId="43" fontId="2" fillId="3" borderId="12" xfId="1" applyFont="1" applyFill="1" applyBorder="1" applyAlignment="1">
      <alignment vertical="center"/>
    </xf>
    <xf numFmtId="0" fontId="46" fillId="3" borderId="12" xfId="3" applyFont="1" applyFill="1" applyBorder="1" applyAlignment="1">
      <alignment horizontal="center" vertical="center" wrapText="1"/>
    </xf>
    <xf numFmtId="0" fontId="46" fillId="3" borderId="22" xfId="0" applyFont="1" applyFill="1" applyBorder="1" applyAlignment="1">
      <alignment horizontal="center" vertical="center"/>
    </xf>
    <xf numFmtId="184" fontId="0" fillId="3" borderId="12" xfId="0" applyNumberFormat="1" applyFill="1" applyBorder="1" applyAlignment="1">
      <alignment horizontal="center" vertical="center" wrapText="1"/>
    </xf>
    <xf numFmtId="0" fontId="46" fillId="3" borderId="13" xfId="3" applyFont="1" applyFill="1" applyBorder="1" applyAlignment="1">
      <alignment horizontal="left" vertical="center" wrapText="1"/>
    </xf>
    <xf numFmtId="0" fontId="0" fillId="3" borderId="12" xfId="0" applyFill="1" applyBorder="1" applyAlignment="1">
      <alignment vertical="center"/>
    </xf>
    <xf numFmtId="0" fontId="0" fillId="3" borderId="12" xfId="0" applyFill="1" applyBorder="1" applyAlignment="1">
      <alignment horizontal="right" vertic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43" fontId="1" fillId="3" borderId="12" xfId="1" applyFont="1" applyFill="1" applyBorder="1" applyAlignment="1">
      <alignment vertical="center"/>
    </xf>
    <xf numFmtId="43" fontId="1" fillId="3" borderId="12" xfId="0" applyNumberFormat="1" applyFont="1" applyFill="1" applyBorder="1" applyAlignment="1">
      <alignment vertical="center" wrapText="1"/>
    </xf>
    <xf numFmtId="10" fontId="0" fillId="0" borderId="0" xfId="2" applyNumberFormat="1" applyFont="1" applyAlignment="1">
      <alignment vertical="center"/>
    </xf>
    <xf numFmtId="0" fontId="96" fillId="4" borderId="0" xfId="6" applyFont="1" applyFill="1" applyAlignment="1">
      <alignment vertical="center"/>
    </xf>
    <xf numFmtId="0" fontId="96" fillId="4" borderId="0" xfId="6" applyFont="1" applyFill="1" applyAlignment="1">
      <alignment horizontal="center" vertical="center"/>
    </xf>
    <xf numFmtId="179" fontId="96" fillId="4" borderId="0" xfId="6" applyNumberFormat="1" applyFont="1" applyFill="1" applyAlignment="1">
      <alignment horizontal="center" vertical="center"/>
    </xf>
    <xf numFmtId="0" fontId="96" fillId="3" borderId="0" xfId="6" applyFont="1" applyFill="1" applyAlignment="1">
      <alignment vertical="center"/>
    </xf>
    <xf numFmtId="0" fontId="97" fillId="4" borderId="16" xfId="6" applyFont="1" applyFill="1" applyBorder="1" applyAlignment="1">
      <alignment vertical="center"/>
    </xf>
    <xf numFmtId="0" fontId="97" fillId="4" borderId="17" xfId="6" applyFont="1" applyFill="1" applyBorder="1" applyAlignment="1">
      <alignment vertical="center"/>
    </xf>
    <xf numFmtId="0" fontId="98" fillId="4" borderId="17" xfId="6" applyFont="1" applyFill="1" applyBorder="1" applyAlignment="1">
      <alignment vertical="center"/>
    </xf>
    <xf numFmtId="0" fontId="98" fillId="4" borderId="17" xfId="6" applyFont="1" applyFill="1" applyBorder="1" applyAlignment="1">
      <alignment horizontal="center" vertical="center"/>
    </xf>
    <xf numFmtId="17" fontId="99" fillId="4" borderId="17" xfId="6" applyNumberFormat="1" applyFont="1" applyFill="1" applyBorder="1" applyAlignment="1">
      <alignment vertical="center"/>
    </xf>
    <xf numFmtId="179" fontId="96" fillId="4" borderId="17" xfId="6" applyNumberFormat="1" applyFont="1" applyFill="1" applyBorder="1" applyAlignment="1">
      <alignment horizontal="center" vertical="center"/>
    </xf>
    <xf numFmtId="0" fontId="97" fillId="4" borderId="18" xfId="6" applyFont="1" applyFill="1" applyBorder="1" applyAlignment="1">
      <alignment vertical="center"/>
    </xf>
    <xf numFmtId="0" fontId="97" fillId="4" borderId="0" xfId="6" applyFont="1" applyFill="1" applyAlignment="1">
      <alignment vertical="center"/>
    </xf>
    <xf numFmtId="0" fontId="98" fillId="4" borderId="0" xfId="6" applyFont="1" applyFill="1" applyAlignment="1">
      <alignment vertical="center"/>
    </xf>
    <xf numFmtId="0" fontId="98" fillId="4" borderId="0" xfId="6" applyFont="1" applyFill="1" applyAlignment="1">
      <alignment horizontal="center" vertical="center"/>
    </xf>
    <xf numFmtId="0" fontId="99" fillId="4" borderId="0" xfId="6" applyFont="1" applyFill="1" applyAlignment="1">
      <alignment vertical="center"/>
    </xf>
    <xf numFmtId="0" fontId="100" fillId="4" borderId="0" xfId="6" applyFont="1" applyFill="1" applyAlignment="1">
      <alignment vertical="center"/>
    </xf>
    <xf numFmtId="0" fontId="97" fillId="4" borderId="19" xfId="6" applyFont="1" applyFill="1" applyBorder="1" applyAlignment="1">
      <alignment vertical="center"/>
    </xf>
    <xf numFmtId="0" fontId="97" fillId="4" borderId="20" xfId="6" applyFont="1" applyFill="1" applyBorder="1" applyAlignment="1">
      <alignment vertical="center"/>
    </xf>
    <xf numFmtId="0" fontId="98" fillId="4" borderId="20" xfId="6" applyFont="1" applyFill="1" applyBorder="1" applyAlignment="1">
      <alignment vertical="center"/>
    </xf>
    <xf numFmtId="0" fontId="98" fillId="4" borderId="20" xfId="6" applyFont="1" applyFill="1" applyBorder="1" applyAlignment="1">
      <alignment horizontal="center" vertical="center"/>
    </xf>
    <xf numFmtId="0" fontId="99" fillId="4" borderId="20" xfId="6" applyFont="1" applyFill="1" applyBorder="1" applyAlignment="1">
      <alignment vertical="center"/>
    </xf>
    <xf numFmtId="179" fontId="96" fillId="4" borderId="20" xfId="6" applyNumberFormat="1" applyFont="1" applyFill="1" applyBorder="1" applyAlignment="1">
      <alignment horizontal="center" vertical="center"/>
    </xf>
    <xf numFmtId="0" fontId="97" fillId="4" borderId="0" xfId="6" applyFont="1" applyFill="1" applyAlignment="1">
      <alignment horizontal="center" vertical="center"/>
    </xf>
    <xf numFmtId="0" fontId="97" fillId="13" borderId="0" xfId="6" applyFont="1" applyFill="1" applyAlignment="1">
      <alignment horizontal="center" vertical="center"/>
    </xf>
    <xf numFmtId="179" fontId="97" fillId="13" borderId="0" xfId="6" applyNumberFormat="1" applyFont="1" applyFill="1" applyAlignment="1">
      <alignment horizontal="center" vertical="center"/>
    </xf>
    <xf numFmtId="0" fontId="97" fillId="13" borderId="0" xfId="6" applyFont="1" applyFill="1" applyAlignment="1">
      <alignment horizontal="left" vertical="center" wrapText="1"/>
    </xf>
    <xf numFmtId="0" fontId="96" fillId="13" borderId="0" xfId="6" applyFont="1" applyFill="1" applyAlignment="1">
      <alignment horizontal="center" vertical="center"/>
    </xf>
    <xf numFmtId="179" fontId="96" fillId="13" borderId="0" xfId="6" applyNumberFormat="1" applyFont="1" applyFill="1" applyAlignment="1">
      <alignment horizontal="center" vertical="center"/>
    </xf>
    <xf numFmtId="0" fontId="96" fillId="3" borderId="0" xfId="6" applyFont="1" applyFill="1" applyAlignment="1">
      <alignment horizontal="center" vertical="center"/>
    </xf>
    <xf numFmtId="0" fontId="96" fillId="3" borderId="0" xfId="6" applyFont="1" applyFill="1" applyAlignment="1">
      <alignment vertical="center" wrapText="1"/>
    </xf>
    <xf numFmtId="169" fontId="96" fillId="3" borderId="0" xfId="6" applyNumberFormat="1" applyFont="1" applyFill="1" applyAlignment="1">
      <alignment vertical="center"/>
    </xf>
    <xf numFmtId="179" fontId="96" fillId="3" borderId="0" xfId="6" applyNumberFormat="1" applyFont="1" applyFill="1" applyAlignment="1">
      <alignment horizontal="center" vertical="center"/>
    </xf>
    <xf numFmtId="0" fontId="101" fillId="3" borderId="0" xfId="6" applyFont="1" applyFill="1" applyAlignment="1">
      <alignment horizontal="center" vertical="center"/>
    </xf>
    <xf numFmtId="4" fontId="101" fillId="3" borderId="0" xfId="6" applyNumberFormat="1" applyFont="1" applyFill="1" applyAlignment="1">
      <alignment vertical="center"/>
    </xf>
    <xf numFmtId="179" fontId="101" fillId="3" borderId="0" xfId="6" applyNumberFormat="1" applyFont="1" applyFill="1" applyAlignment="1">
      <alignment horizontal="center" vertical="center" wrapText="1"/>
    </xf>
    <xf numFmtId="188" fontId="96" fillId="3" borderId="0" xfId="6" applyNumberFormat="1" applyFont="1" applyFill="1" applyAlignment="1">
      <alignment vertical="center"/>
    </xf>
    <xf numFmtId="0" fontId="97" fillId="3" borderId="0" xfId="6" applyFont="1" applyFill="1" applyAlignment="1">
      <alignment vertical="center" wrapText="1"/>
    </xf>
    <xf numFmtId="0" fontId="97" fillId="3" borderId="0" xfId="6" applyFont="1" applyFill="1" applyAlignment="1">
      <alignment horizontal="center" vertical="center" wrapText="1"/>
    </xf>
    <xf numFmtId="179" fontId="97" fillId="3" borderId="0" xfId="6" applyNumberFormat="1" applyFont="1" applyFill="1" applyAlignment="1">
      <alignment horizontal="center" vertical="center" wrapText="1"/>
    </xf>
    <xf numFmtId="0" fontId="97" fillId="13" borderId="0" xfId="6" applyFont="1" applyFill="1" applyAlignment="1">
      <alignment horizontal="center" vertical="center" wrapText="1"/>
    </xf>
    <xf numFmtId="181" fontId="96" fillId="3" borderId="0" xfId="6" applyNumberFormat="1" applyFont="1" applyFill="1" applyAlignment="1">
      <alignment vertical="center"/>
    </xf>
    <xf numFmtId="170" fontId="96" fillId="3" borderId="0" xfId="6" applyNumberFormat="1" applyFont="1" applyFill="1" applyAlignment="1">
      <alignment vertical="center"/>
    </xf>
    <xf numFmtId="0" fontId="96" fillId="3" borderId="0" xfId="6" applyFont="1" applyFill="1" applyAlignment="1">
      <alignment horizontal="center" vertical="center" wrapText="1"/>
    </xf>
    <xf numFmtId="179" fontId="97" fillId="3" borderId="0" xfId="6" applyNumberFormat="1" applyFont="1" applyFill="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5" fillId="3" borderId="15" xfId="14" applyFill="1" applyBorder="1" applyAlignment="1">
      <alignment vertical="center"/>
    </xf>
    <xf numFmtId="0" fontId="15" fillId="3" borderId="14" xfId="14" applyFont="1" applyFill="1" applyBorder="1" applyAlignment="1">
      <alignment vertical="center"/>
    </xf>
    <xf numFmtId="0" fontId="15" fillId="3" borderId="13" xfId="14" applyFont="1" applyFill="1" applyBorder="1" applyAlignment="1">
      <alignment vertical="center"/>
    </xf>
    <xf numFmtId="0" fontId="12" fillId="3" borderId="95" xfId="14" applyFont="1" applyFill="1" applyBorder="1" applyAlignment="1">
      <alignment horizontal="left" vertical="center"/>
    </xf>
    <xf numFmtId="0" fontId="12" fillId="3" borderId="11" xfId="14" applyFont="1" applyFill="1" applyBorder="1" applyAlignment="1">
      <alignment horizontal="left"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166" fontId="15" fillId="3" borderId="97" xfId="4" applyFont="1" applyFill="1" applyBorder="1" applyAlignment="1">
      <alignment horizontal="center" vertical="center"/>
    </xf>
    <xf numFmtId="166" fontId="15" fillId="3" borderId="99" xfId="4" applyFont="1" applyFill="1" applyBorder="1" applyAlignment="1">
      <alignment horizontal="center" vertical="center"/>
    </xf>
    <xf numFmtId="166"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39" fillId="0" borderId="9" xfId="0" applyFont="1" applyBorder="1" applyAlignment="1">
      <alignment horizontal="right" vertical="center" wrapText="1"/>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183" fontId="15" fillId="0" borderId="0" xfId="15" applyNumberFormat="1" applyFont="1" applyAlignment="1">
      <alignment horizontal="left" vertical="center"/>
    </xf>
    <xf numFmtId="1" fontId="28" fillId="8" borderId="0" xfId="14" applyNumberFormat="1" applyFont="1" applyFill="1" applyAlignment="1">
      <alignment horizontal="left"/>
    </xf>
    <xf numFmtId="0" fontId="28" fillId="8" borderId="0" xfId="14" applyFont="1" applyFill="1"/>
    <xf numFmtId="0" fontId="28" fillId="8" borderId="41" xfId="14" applyFont="1" applyFill="1" applyBorder="1"/>
    <xf numFmtId="1" fontId="28" fillId="8" borderId="57" xfId="14" applyNumberFormat="1" applyFont="1" applyFill="1" applyBorder="1" applyAlignment="1">
      <alignment horizontal="left"/>
    </xf>
    <xf numFmtId="0" fontId="28" fillId="8" borderId="57" xfId="14" applyFont="1" applyFill="1" applyBorder="1"/>
    <xf numFmtId="0" fontId="28" fillId="8" borderId="58" xfId="14" applyFont="1" applyFill="1" applyBorder="1"/>
    <xf numFmtId="1" fontId="31" fillId="0" borderId="79" xfId="14" applyNumberFormat="1" applyFont="1" applyBorder="1" applyAlignment="1">
      <alignment horizontal="left"/>
    </xf>
    <xf numFmtId="0" fontId="28" fillId="0" borderId="34" xfId="14" applyFont="1" applyBorder="1"/>
    <xf numFmtId="0" fontId="28" fillId="0" borderId="80" xfId="14" applyFont="1" applyBorder="1"/>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0" fontId="28" fillId="0" borderId="57" xfId="14" applyFont="1" applyBorder="1"/>
    <xf numFmtId="0" fontId="28" fillId="0" borderId="70"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0" borderId="79" xfId="14" applyNumberFormat="1" applyFont="1" applyBorder="1" applyAlignment="1">
      <alignment horizontal="left"/>
    </xf>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82"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35" fillId="8" borderId="0" xfId="14" applyFont="1" applyFill="1" applyAlignment="1">
      <alignment horizontal="center" vertical="center"/>
    </xf>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185" fontId="16" fillId="0" borderId="6" xfId="14" applyNumberFormat="1" applyFont="1" applyBorder="1" applyAlignment="1">
      <alignment horizontal="center" vertical="center"/>
    </xf>
    <xf numFmtId="185" fontId="16" fillId="0" borderId="7" xfId="14" applyNumberFormat="1" applyFont="1" applyBorder="1" applyAlignment="1">
      <alignment horizontal="center" vertical="center"/>
    </xf>
    <xf numFmtId="185" fontId="16" fillId="0" borderId="8" xfId="1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6" fontId="16" fillId="0" borderId="9" xfId="4" applyFont="1" applyBorder="1" applyAlignment="1">
      <alignment vertical="center"/>
    </xf>
    <xf numFmtId="166" fontId="16" fillId="0" borderId="10" xfId="4" applyFont="1" applyBorder="1" applyAlignment="1">
      <alignment vertical="center"/>
    </xf>
    <xf numFmtId="166" fontId="16" fillId="0" borderId="11" xfId="4" applyFont="1" applyBorder="1" applyAlignment="1">
      <alignment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0" fontId="16" fillId="0" borderId="12" xfId="14" applyFont="1" applyBorder="1" applyAlignment="1">
      <alignment horizontal="center"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7" fontId="16" fillId="0" borderId="9" xfId="14" applyNumberFormat="1" applyFont="1" applyBorder="1" applyAlignment="1">
      <alignment horizontal="center" vertical="center"/>
    </xf>
    <xf numFmtId="187" fontId="16" fillId="0" borderId="10" xfId="14" applyNumberFormat="1" applyFont="1" applyBorder="1" applyAlignment="1">
      <alignment horizontal="center" vertical="center"/>
    </xf>
    <xf numFmtId="187"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185" fontId="16" fillId="0" borderId="9" xfId="14" applyNumberFormat="1" applyFont="1" applyBorder="1" applyAlignment="1">
      <alignment horizontal="center" vertical="center"/>
    </xf>
    <xf numFmtId="185" fontId="16" fillId="0" borderId="10" xfId="14" applyNumberFormat="1" applyFont="1" applyBorder="1" applyAlignment="1">
      <alignment horizontal="center" vertical="center"/>
    </xf>
    <xf numFmtId="185" fontId="16" fillId="0" borderId="11" xfId="14" applyNumberFormat="1" applyFont="1" applyBorder="1" applyAlignment="1">
      <alignment horizontal="center"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1" xfId="14" applyFont="1" applyBorder="1" applyAlignment="1">
      <alignment horizontal="center" vertical="center"/>
    </xf>
    <xf numFmtId="0" fontId="101" fillId="13" borderId="0" xfId="6" applyFont="1" applyFill="1" applyAlignment="1">
      <alignment horizontal="center" vertic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14" fillId="3" borderId="12" xfId="3" applyFont="1" applyFill="1" applyBorder="1" applyAlignment="1">
      <alignment vertical="center" wrapText="1"/>
    </xf>
    <xf numFmtId="0" fontId="14" fillId="3" borderId="12" xfId="3" applyFont="1" applyFill="1" applyBorder="1" applyAlignment="1">
      <alignment horizontal="center" vertical="center" wrapText="1"/>
    </xf>
    <xf numFmtId="39" fontId="5" fillId="3" borderId="21" xfId="4" applyNumberFormat="1" applyFont="1" applyFill="1" applyBorder="1" applyAlignment="1" applyProtection="1"/>
    <xf numFmtId="166" fontId="5" fillId="3" borderId="22" xfId="4" applyFont="1" applyFill="1" applyBorder="1" applyAlignment="1" applyProtection="1">
      <alignment horizontal="left"/>
    </xf>
    <xf numFmtId="4" fontId="5" fillId="3" borderId="22" xfId="3" applyNumberFormat="1" applyFill="1" applyBorder="1" applyAlignment="1">
      <alignment horizontal="center"/>
    </xf>
    <xf numFmtId="39" fontId="5" fillId="3" borderId="22" xfId="4" applyNumberFormat="1" applyFont="1" applyFill="1" applyBorder="1" applyAlignment="1" applyProtection="1"/>
    <xf numFmtId="166" fontId="5" fillId="3" borderId="21" xfId="4" applyFont="1" applyFill="1" applyBorder="1" applyAlignment="1" applyProtection="1">
      <alignment horizontal="left"/>
    </xf>
    <xf numFmtId="4" fontId="5" fillId="3" borderId="21" xfId="3" applyNumberFormat="1" applyFill="1" applyBorder="1" applyAlignment="1">
      <alignment horizontal="center"/>
    </xf>
    <xf numFmtId="166" fontId="5" fillId="3" borderId="22" xfId="4" applyFont="1" applyFill="1" applyBorder="1" applyAlignment="1" applyProtection="1"/>
    <xf numFmtId="166" fontId="5" fillId="3" borderId="23" xfId="4" applyFont="1" applyFill="1" applyBorder="1" applyAlignment="1" applyProtection="1">
      <alignment horizontal="left"/>
    </xf>
    <xf numFmtId="170" fontId="5" fillId="3" borderId="23" xfId="3" applyNumberFormat="1" applyFill="1" applyBorder="1" applyAlignment="1">
      <alignment horizontal="center"/>
    </xf>
    <xf numFmtId="4" fontId="5" fillId="3" borderId="23" xfId="3" applyNumberFormat="1" applyFill="1" applyBorder="1" applyAlignment="1">
      <alignment horizontal="center"/>
    </xf>
    <xf numFmtId="39" fontId="5" fillId="3" borderId="23" xfId="4" applyNumberFormat="1" applyFont="1" applyFill="1" applyBorder="1" applyAlignment="1" applyProtection="1"/>
    <xf numFmtId="166" fontId="5" fillId="3" borderId="22" xfId="4" applyFont="1" applyFill="1" applyBorder="1" applyAlignment="1" applyProtection="1">
      <alignment vertical="center" wrapText="1"/>
    </xf>
    <xf numFmtId="170"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0" fontId="5" fillId="3" borderId="12" xfId="3" applyFill="1" applyBorder="1" applyAlignment="1">
      <alignment horizontal="center"/>
    </xf>
    <xf numFmtId="0" fontId="8" fillId="3" borderId="12" xfId="3" applyFont="1" applyFill="1" applyBorder="1" applyAlignment="1">
      <alignment horizontal="center"/>
    </xf>
    <xf numFmtId="166" fontId="5" fillId="3" borderId="21" xfId="4" applyFont="1" applyFill="1" applyBorder="1" applyAlignment="1" applyProtection="1">
      <alignment vertical="center" wrapText="1"/>
    </xf>
    <xf numFmtId="170"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0" fontId="14" fillId="3" borderId="12" xfId="3" applyFont="1" applyFill="1" applyBorder="1" applyAlignment="1">
      <alignment horizontal="center"/>
    </xf>
    <xf numFmtId="166" fontId="5" fillId="3" borderId="23" xfId="4" applyFont="1" applyFill="1" applyBorder="1" applyAlignment="1" applyProtection="1">
      <alignment vertical="center" wrapText="1"/>
    </xf>
    <xf numFmtId="170"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6" fontId="14" fillId="3" borderId="12" xfId="4" applyFont="1" applyFill="1" applyBorder="1" applyAlignment="1" applyProtection="1">
      <alignment horizontal="center"/>
    </xf>
    <xf numFmtId="166"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70" fontId="45" fillId="3" borderId="22"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6" fontId="45" fillId="3" borderId="22" xfId="7" applyFont="1" applyFill="1" applyBorder="1" applyAlignment="1" applyProtection="1">
      <alignment wrapText="1"/>
    </xf>
    <xf numFmtId="170" fontId="45" fillId="3" borderId="21" xfId="3" applyNumberFormat="1" applyFont="1" applyFill="1" applyBorder="1" applyAlignment="1">
      <alignment horizontal="center" vertical="center" wrapText="1"/>
    </xf>
    <xf numFmtId="166" fontId="45" fillId="3" borderId="25" xfId="4" applyFont="1" applyFill="1" applyBorder="1" applyAlignment="1" applyProtection="1">
      <alignment wrapText="1"/>
    </xf>
    <xf numFmtId="166" fontId="45" fillId="3" borderId="26" xfId="4" applyFont="1" applyFill="1" applyBorder="1" applyAlignment="1" applyProtection="1">
      <alignment wrapText="1"/>
    </xf>
    <xf numFmtId="166"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70" fontId="45" fillId="3" borderId="25" xfId="3" applyNumberFormat="1" applyFont="1" applyFill="1" applyBorder="1" applyAlignment="1">
      <alignment horizontal="center" vertical="center" wrapText="1"/>
    </xf>
    <xf numFmtId="170" fontId="45" fillId="3" borderId="26" xfId="3" applyNumberFormat="1" applyFont="1" applyFill="1" applyBorder="1" applyAlignment="1">
      <alignment horizontal="center" vertical="center" wrapText="1"/>
    </xf>
    <xf numFmtId="170" fontId="45" fillId="3" borderId="27" xfId="3" applyNumberFormat="1" applyFont="1" applyFill="1" applyBorder="1" applyAlignment="1">
      <alignment horizontal="center" vertical="center" wrapText="1"/>
    </xf>
    <xf numFmtId="166" fontId="5" fillId="3" borderId="23" xfId="4" applyFont="1" applyFill="1" applyBorder="1" applyAlignment="1" applyProtection="1"/>
    <xf numFmtId="0" fontId="5" fillId="3" borderId="21" xfId="3" applyFill="1" applyBorder="1"/>
    <xf numFmtId="167" fontId="5" fillId="3" borderId="21" xfId="4" applyNumberFormat="1" applyFont="1" applyFill="1" applyBorder="1" applyAlignment="1" applyProtection="1"/>
    <xf numFmtId="0" fontId="5" fillId="3" borderId="21" xfId="3" applyFill="1" applyBorder="1" applyAlignment="1">
      <alignment horizontal="center"/>
    </xf>
    <xf numFmtId="166" fontId="5" fillId="3" borderId="21" xfId="4" applyFont="1" applyFill="1" applyBorder="1" applyAlignment="1" applyProtection="1">
      <alignment horizontal="center"/>
    </xf>
    <xf numFmtId="0" fontId="5" fillId="3" borderId="22" xfId="3" applyFill="1" applyBorder="1"/>
    <xf numFmtId="167" fontId="5" fillId="3" borderId="22" xfId="4" applyNumberFormat="1" applyFont="1" applyFill="1" applyBorder="1" applyAlignment="1" applyProtection="1"/>
    <xf numFmtId="0" fontId="5" fillId="3" borderId="22" xfId="3" applyFill="1" applyBorder="1" applyAlignment="1">
      <alignment horizontal="center"/>
    </xf>
    <xf numFmtId="166" fontId="5" fillId="3" borderId="22" xfId="4" applyFont="1" applyFill="1" applyBorder="1" applyAlignment="1" applyProtection="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7" fontId="5" fillId="3" borderId="23" xfId="4" applyNumberFormat="1" applyFont="1" applyFill="1" applyBorder="1" applyAlignment="1" applyProtection="1"/>
    <xf numFmtId="0" fontId="5" fillId="3" borderId="23" xfId="3" applyFill="1" applyBorder="1" applyAlignment="1">
      <alignment horizontal="center"/>
    </xf>
    <xf numFmtId="166" fontId="5" fillId="3" borderId="23" xfId="4" applyFont="1" applyFill="1" applyBorder="1" applyAlignment="1" applyProtection="1">
      <alignment horizontal="center"/>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5" fillId="3" borderId="12" xfId="3" applyFill="1" applyBorder="1" applyAlignment="1">
      <alignment horizontal="center" vertical="center" wrapText="1"/>
    </xf>
    <xf numFmtId="4" fontId="5" fillId="3" borderId="12" xfId="3" applyNumberFormat="1" applyFill="1" applyBorder="1" applyAlignment="1">
      <alignment horizontal="center" vertical="center" wrapText="1"/>
    </xf>
    <xf numFmtId="4" fontId="16" fillId="3" borderId="15" xfId="3" applyNumberFormat="1" applyFont="1" applyFill="1" applyBorder="1" applyAlignment="1">
      <alignment horizontal="center" vertical="center" wrapText="1"/>
    </xf>
    <xf numFmtId="4" fontId="16" fillId="3" borderId="13" xfId="3" applyNumberFormat="1" applyFont="1" applyFill="1" applyBorder="1" applyAlignment="1">
      <alignment horizontal="center" vertical="center" wrapText="1"/>
    </xf>
    <xf numFmtId="0" fontId="8" fillId="3" borderId="9" xfId="3" applyFont="1" applyFill="1" applyBorder="1" applyAlignment="1">
      <alignment horizontal="left" vertical="center"/>
    </xf>
    <xf numFmtId="0" fontId="8" fillId="3" borderId="10" xfId="3" applyFont="1" applyFill="1" applyBorder="1" applyAlignment="1">
      <alignment horizontal="left" vertical="center"/>
    </xf>
    <xf numFmtId="0" fontId="8" fillId="3" borderId="11" xfId="3" applyFont="1" applyFill="1" applyBorder="1" applyAlignment="1">
      <alignment horizontal="left" vertical="center"/>
    </xf>
    <xf numFmtId="0" fontId="8" fillId="3" borderId="128" xfId="3" applyFont="1" applyFill="1" applyBorder="1" applyAlignment="1">
      <alignment vertical="center"/>
    </xf>
    <xf numFmtId="0" fontId="8" fillId="3" borderId="129" xfId="3" applyFont="1" applyFill="1" applyBorder="1" applyAlignment="1">
      <alignment vertical="center"/>
    </xf>
    <xf numFmtId="0" fontId="8" fillId="3" borderId="130" xfId="3" applyFont="1" applyFill="1" applyBorder="1" applyAlignment="1">
      <alignment vertical="center"/>
    </xf>
    <xf numFmtId="0" fontId="8" fillId="3" borderId="22" xfId="3" applyFont="1" applyFill="1" applyBorder="1"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1" xfId="3" applyFont="1" applyFill="1" applyBorder="1" applyAlignment="1">
      <alignment vertical="center"/>
    </xf>
    <xf numFmtId="0" fontId="5" fillId="3" borderId="12" xfId="3" applyFill="1" applyBorder="1" applyAlignment="1">
      <alignment horizontal="center" vertical="center"/>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6"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6" fontId="8" fillId="3" borderId="1" xfId="4" applyFont="1" applyFill="1" applyBorder="1" applyAlignment="1">
      <alignment horizontal="center" vertical="center" wrapText="1"/>
    </xf>
    <xf numFmtId="166" fontId="8" fillId="3" borderId="3" xfId="4" applyFont="1" applyFill="1" applyBorder="1" applyAlignment="1">
      <alignment horizontal="center" vertical="center" wrapText="1"/>
    </xf>
    <xf numFmtId="166" fontId="8" fillId="3" borderId="6" xfId="4" applyFont="1" applyFill="1" applyBorder="1" applyAlignment="1">
      <alignment horizontal="center" vertical="center" wrapText="1"/>
    </xf>
    <xf numFmtId="166" fontId="8" fillId="3" borderId="8" xfId="4" applyFont="1" applyFill="1" applyBorder="1" applyAlignment="1">
      <alignment horizontal="center" vertical="center" wrapText="1"/>
    </xf>
    <xf numFmtId="166"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6" fontId="8" fillId="3" borderId="9" xfId="4" applyFont="1" applyFill="1" applyBorder="1" applyAlignment="1">
      <alignment horizontal="center" wrapText="1"/>
    </xf>
    <xf numFmtId="166" fontId="8" fillId="3" borderId="10" xfId="4" applyFont="1" applyFill="1" applyBorder="1" applyAlignment="1">
      <alignment horizontal="center" wrapText="1"/>
    </xf>
    <xf numFmtId="166" fontId="8" fillId="3" borderId="11" xfId="4" applyFont="1" applyFill="1" applyBorder="1" applyAlignment="1">
      <alignment horizontal="center" wrapText="1"/>
    </xf>
    <xf numFmtId="172" fontId="23" fillId="3" borderId="0" xfId="10" applyNumberFormat="1" applyFont="1" applyFill="1" applyAlignment="1">
      <alignment horizontal="center" vertical="center"/>
    </xf>
    <xf numFmtId="172" fontId="15" fillId="3" borderId="46" xfId="10" applyNumberFormat="1" applyFont="1" applyFill="1" applyBorder="1" applyAlignment="1">
      <alignment horizontal="left" vertical="center" wrapText="1"/>
    </xf>
    <xf numFmtId="172" fontId="15" fillId="3" borderId="32" xfId="10" applyNumberFormat="1" applyFont="1" applyFill="1" applyBorder="1" applyAlignment="1">
      <alignment horizontal="left" vertical="center" wrapText="1"/>
    </xf>
    <xf numFmtId="172" fontId="15" fillId="3" borderId="40" xfId="10" applyNumberFormat="1" applyFont="1" applyFill="1" applyBorder="1" applyAlignment="1">
      <alignment horizontal="left" vertical="center" wrapText="1"/>
    </xf>
    <xf numFmtId="172" fontId="15" fillId="3" borderId="0" xfId="10" applyNumberFormat="1" applyFont="1" applyFill="1" applyAlignment="1">
      <alignment horizontal="left" vertical="center" wrapText="1"/>
    </xf>
    <xf numFmtId="172" fontId="22" fillId="3" borderId="32" xfId="10" applyNumberFormat="1" applyFont="1" applyFill="1" applyBorder="1" applyAlignment="1">
      <alignment horizontal="center" vertical="center"/>
    </xf>
    <xf numFmtId="172" fontId="23" fillId="3" borderId="31" xfId="10" applyNumberFormat="1" applyFont="1" applyFill="1" applyBorder="1" applyAlignment="1">
      <alignment horizontal="center" vertical="center"/>
    </xf>
    <xf numFmtId="172" fontId="22" fillId="3" borderId="42" xfId="10" applyNumberFormat="1" applyFont="1" applyFill="1" applyBorder="1" applyAlignment="1">
      <alignment horizontal="left" vertical="center" wrapText="1"/>
    </xf>
    <xf numFmtId="172" fontId="22" fillId="3" borderId="30" xfId="10" applyNumberFormat="1" applyFont="1" applyFill="1" applyBorder="1" applyAlignment="1">
      <alignment horizontal="left" vertical="center" wrapText="1"/>
    </xf>
    <xf numFmtId="172" fontId="22" fillId="3" borderId="42" xfId="10" applyNumberFormat="1" applyFont="1" applyFill="1" applyBorder="1" applyAlignment="1">
      <alignment horizontal="center" vertical="center" wrapText="1"/>
    </xf>
    <xf numFmtId="172" fontId="22" fillId="3" borderId="30" xfId="10" applyNumberFormat="1" applyFont="1" applyFill="1" applyBorder="1" applyAlignment="1">
      <alignment horizontal="center" vertical="center" wrapText="1"/>
    </xf>
    <xf numFmtId="172" fontId="23" fillId="3" borderId="40" xfId="10" applyNumberFormat="1" applyFont="1" applyFill="1" applyBorder="1" applyAlignment="1">
      <alignment horizontal="left" vertical="center" wrapText="1"/>
    </xf>
    <xf numFmtId="172" fontId="23" fillId="3" borderId="0" xfId="10" applyNumberFormat="1" applyFont="1" applyFill="1" applyAlignment="1">
      <alignment horizontal="left" vertical="center" wrapText="1"/>
    </xf>
  </cellXfs>
  <cellStyles count="1100">
    <cellStyle name=" 1" xfId="17" xr:uid="{915AF41F-5954-4754-9711-59A8195DCA1D}"/>
    <cellStyle name="20% - Accent1" xfId="18" xr:uid="{39D35D87-52B5-4876-998C-3E8E8980DCBD}"/>
    <cellStyle name="20% - Accent2" xfId="19" xr:uid="{6C70C90C-660F-4FA7-B931-F9D99AAFE27B}"/>
    <cellStyle name="20% - Accent3" xfId="20" xr:uid="{551D6D21-A65F-4F9E-B1F9-1CA8FB28E726}"/>
    <cellStyle name="20% - Accent4" xfId="21" xr:uid="{A091FC9E-34D2-4067-B118-63AD0743C49C}"/>
    <cellStyle name="20% - Accent5" xfId="22" xr:uid="{BD6A6E32-97C3-4C7E-8D7E-BAD0DD332A67}"/>
    <cellStyle name="20% - Accent6" xfId="23" xr:uid="{589F3233-70C1-46F0-B612-A430ACABFD18}"/>
    <cellStyle name="20% - Ênfase1 2" xfId="24" xr:uid="{BD7216FD-59C6-4272-B951-10299E839A34}"/>
    <cellStyle name="20% - Ênfase1 2 2" xfId="25" xr:uid="{01CA7299-AA35-4E25-85F4-68E5AF68BCA1}"/>
    <cellStyle name="20% - Ênfase1 2 3" xfId="26" xr:uid="{75E5D385-DE25-4B3C-9440-A8D077BAB16A}"/>
    <cellStyle name="20% - Ênfase1 2 4" xfId="27" xr:uid="{97882396-6DCF-48FF-AC3F-26378CD70EC3}"/>
    <cellStyle name="20% - Ênfase1 2_Compo" xfId="28" xr:uid="{5B23C0AB-E02B-4EE9-9F0E-43636EFD3F4A}"/>
    <cellStyle name="20% - Ênfase1 3" xfId="29" xr:uid="{91D07EA7-171E-4515-92AA-83E3D9B9D83C}"/>
    <cellStyle name="20% - Ênfase1 4" xfId="30" xr:uid="{189AC59B-B2BE-4BE0-A5E5-6B705FC983F0}"/>
    <cellStyle name="20% - Ênfase1 5" xfId="31" xr:uid="{D3FFDA60-839E-4666-AC00-DC1C613A45F0}"/>
    <cellStyle name="20% - Ênfase2 2" xfId="32" xr:uid="{1EBCF715-447F-4343-9079-D035E12907FC}"/>
    <cellStyle name="20% - Ênfase2 2 2" xfId="33" xr:uid="{BF25B126-E988-4AA5-B4E0-C8FEC3AF1D97}"/>
    <cellStyle name="20% - Ênfase2 2 3" xfId="34" xr:uid="{2CD25651-FF08-42DF-A158-5928CE75B7D0}"/>
    <cellStyle name="20% - Ênfase2 2 4" xfId="35" xr:uid="{001D433C-B0C5-4409-B9F5-D23BCEC96750}"/>
    <cellStyle name="20% - Ênfase2 2_Compo" xfId="36" xr:uid="{23755BF1-7387-45FA-B380-7F92DA3D9068}"/>
    <cellStyle name="20% - Ênfase2 3" xfId="37" xr:uid="{EC1C8B89-314E-480C-AB75-48336A281E87}"/>
    <cellStyle name="20% - Ênfase2 4" xfId="38" xr:uid="{4E882C2B-1387-44D7-90F7-EE33374535B2}"/>
    <cellStyle name="20% - Ênfase2 5" xfId="39" xr:uid="{98DB3897-E90A-4C73-834D-AAE95B11273E}"/>
    <cellStyle name="20% - Ênfase3 2" xfId="40" xr:uid="{8817437D-3B2A-486B-95D0-9FF4D332CDC3}"/>
    <cellStyle name="20% - Ênfase3 2 2" xfId="41" xr:uid="{EC13A3CE-9D1E-4C01-9E7C-94236E0F3F28}"/>
    <cellStyle name="20% - Ênfase3 2 3" xfId="42" xr:uid="{BF9CBEF5-02A4-49B5-BE80-E35309412090}"/>
    <cellStyle name="20% - Ênfase3 2 4" xfId="43" xr:uid="{063DD5C5-75D9-4D09-BEED-7B0E1337F36B}"/>
    <cellStyle name="20% - Ênfase3 2_Compo" xfId="44" xr:uid="{B4CBC772-9B7A-40D5-BAF5-0AF48EA0D8D5}"/>
    <cellStyle name="20% - Ênfase3 3" xfId="45" xr:uid="{D186AEE8-6BAD-4932-9BE8-204870915B0B}"/>
    <cellStyle name="20% - Ênfase3 4" xfId="46" xr:uid="{CC99B324-23D0-40D6-ADBD-E5854AE44F22}"/>
    <cellStyle name="20% - Ênfase3 5" xfId="47" xr:uid="{A77C5E5D-512E-4C51-A3C6-F2D6A00EC00C}"/>
    <cellStyle name="20% - Ênfase4 2" xfId="48" xr:uid="{ED12D1F9-9007-4C2E-88B8-E63FFF190221}"/>
    <cellStyle name="20% - Ênfase4 2 2" xfId="49" xr:uid="{C023AE70-4BFB-4CA2-96D8-325D51CDE60E}"/>
    <cellStyle name="20% - Ênfase4 2 3" xfId="50" xr:uid="{B1254A3B-2BC5-435D-8A82-091E374A7DF8}"/>
    <cellStyle name="20% - Ênfase4 2 4" xfId="51" xr:uid="{DD2DABD9-787E-48B8-A704-E7AABD49E6E0}"/>
    <cellStyle name="20% - Ênfase4 2_Compo" xfId="52" xr:uid="{DBEEE810-2EB9-447C-B160-99223398BE05}"/>
    <cellStyle name="20% - Ênfase4 3" xfId="53" xr:uid="{8A037B23-8E9D-4B41-AB0F-FC9A77660279}"/>
    <cellStyle name="20% - Ênfase4 4" xfId="54" xr:uid="{15FBCD79-ECDD-46CA-9462-5ECC9FA9AF0F}"/>
    <cellStyle name="20% - Ênfase4 5" xfId="55" xr:uid="{B47FE2AE-1F80-452A-9032-296E51253E43}"/>
    <cellStyle name="20% - Ênfase5 2" xfId="56" xr:uid="{5BD2983A-F1A5-4FB3-8873-FE135D009876}"/>
    <cellStyle name="20% - Ênfase5 2 2" xfId="57" xr:uid="{F15E99C3-B43C-4944-879D-2224695C01A0}"/>
    <cellStyle name="20% - Ênfase5 2 3" xfId="58" xr:uid="{3B6C93F9-CDCA-48CE-B774-B6DB297BFC9D}"/>
    <cellStyle name="20% - Ênfase5 2 4" xfId="59" xr:uid="{DF75EFD7-FEC9-4CC2-ADD2-3B09A8A0BEB0}"/>
    <cellStyle name="20% - Ênfase5 2_Compo" xfId="60" xr:uid="{3F71AB4A-9EB1-4630-9270-499EC9496741}"/>
    <cellStyle name="20% - Ênfase5 3" xfId="61" xr:uid="{6E5BDC4D-1CDD-4336-ACEF-1E7B1B4C85DB}"/>
    <cellStyle name="20% - Ênfase5 4" xfId="62" xr:uid="{4FA4AD28-0893-437F-A589-315FD8EEEAC7}"/>
    <cellStyle name="20% - Ênfase5 5" xfId="63" xr:uid="{899258C1-F77B-4084-B761-BECEA3A8B4C8}"/>
    <cellStyle name="20% - Ênfase6 2" xfId="64" xr:uid="{AE1D14F5-6F00-410F-96FC-13480AA84250}"/>
    <cellStyle name="20% - Ênfase6 2 2" xfId="65" xr:uid="{B9284838-7C73-47ED-8CF7-A9CF56A4798B}"/>
    <cellStyle name="20% - Ênfase6 2 3" xfId="66" xr:uid="{FFF8F364-36A2-494B-AD72-8E501CEEDCB6}"/>
    <cellStyle name="20% - Ênfase6 2 4" xfId="67" xr:uid="{D816ECDF-152D-4FD7-B3CA-17A7901FC93D}"/>
    <cellStyle name="20% - Ênfase6 2_Compo" xfId="68" xr:uid="{7102EC53-27F2-4FAF-8719-17F6E00B8273}"/>
    <cellStyle name="20% - Ênfase6 3" xfId="69" xr:uid="{637DB344-688F-4E5E-8273-6ECB3C29CBBD}"/>
    <cellStyle name="20% - Ênfase6 4" xfId="70" xr:uid="{3AD165F0-2DD4-463F-AF8F-AFEE580BE3A3}"/>
    <cellStyle name="20% - Ênfase6 5" xfId="71" xr:uid="{C9AD8A66-5F90-4FD6-B702-8D7C1BFBFDDB}"/>
    <cellStyle name="40% - Accent1" xfId="72" xr:uid="{AD6D6221-3847-4A6A-8906-366FAE1C2952}"/>
    <cellStyle name="40% - Accent2" xfId="73" xr:uid="{E1B3E25D-F7F5-4639-98B0-CEB8AE46D610}"/>
    <cellStyle name="40% - Accent3" xfId="74" xr:uid="{752F358D-3670-4549-8020-C7D39119C8EF}"/>
    <cellStyle name="40% - Accent4" xfId="75" xr:uid="{E1A9ACEE-D8E7-4D70-993F-72AD3FDBAD2B}"/>
    <cellStyle name="40% - Accent5" xfId="76" xr:uid="{A94323B6-5318-489C-8FB5-E6C784AB6DC5}"/>
    <cellStyle name="40% - Accent6" xfId="77" xr:uid="{162538EF-F878-439D-8904-2F8830DA1E0C}"/>
    <cellStyle name="40% - Ênfase1 2" xfId="78" xr:uid="{52F932F8-192E-483A-B47A-F3B21CC036B6}"/>
    <cellStyle name="40% - Ênfase1 2 2" xfId="79" xr:uid="{7E87069C-8743-4991-81FE-F6D40F8C2D64}"/>
    <cellStyle name="40% - Ênfase1 2 3" xfId="80" xr:uid="{BD90DBA8-7452-4440-9CC0-1C7BF8BB0533}"/>
    <cellStyle name="40% - Ênfase1 2 4" xfId="81" xr:uid="{E4EE4061-29EC-4806-B3F3-6B663434AEF7}"/>
    <cellStyle name="40% - Ênfase1 2_Compo" xfId="82" xr:uid="{E048BF4C-AE38-47C5-BFD8-8588B7977E68}"/>
    <cellStyle name="40% - Ênfase1 3" xfId="83" xr:uid="{92FB82FA-2426-4AD5-89AD-153DEE70125A}"/>
    <cellStyle name="40% - Ênfase1 4" xfId="84" xr:uid="{A21A156D-135B-44ED-8C0B-A072EF0EB126}"/>
    <cellStyle name="40% - Ênfase1 5" xfId="85" xr:uid="{26FD83C4-F0C5-404B-A4BD-80F8CABBE25D}"/>
    <cellStyle name="40% - Ênfase2 2" xfId="86" xr:uid="{86936FAA-624A-4663-9BE2-7AD2DCBAD379}"/>
    <cellStyle name="40% - Ênfase2 2 2" xfId="87" xr:uid="{1A04D91E-DEA5-4CEC-A87F-CAF6B708FD5B}"/>
    <cellStyle name="40% - Ênfase2 2 3" xfId="88" xr:uid="{4D57D364-1215-438F-9D19-8E88814E9A14}"/>
    <cellStyle name="40% - Ênfase2 2 4" xfId="89" xr:uid="{82516F65-1FB4-4B52-9F31-04C38921A488}"/>
    <cellStyle name="40% - Ênfase2 2_Compo" xfId="90" xr:uid="{16C17CB6-1586-47A6-AED2-6D1AC5987DDF}"/>
    <cellStyle name="40% - Ênfase2 3" xfId="91" xr:uid="{37102481-753D-4010-9B8A-DBB665EAFCEE}"/>
    <cellStyle name="40% - Ênfase2 4" xfId="92" xr:uid="{89FD2119-4C74-4704-80B3-2217F8BB9D38}"/>
    <cellStyle name="40% - Ênfase2 5" xfId="93" xr:uid="{6136F78B-5AA4-47E5-A9D5-BA2175F9AE1D}"/>
    <cellStyle name="40% - Ênfase3 2" xfId="94" xr:uid="{38E7EA24-2A04-457F-B3BB-DF8854933610}"/>
    <cellStyle name="40% - Ênfase3 2 2" xfId="95" xr:uid="{32719503-DA43-40A1-9914-9ED4F8FFB7D8}"/>
    <cellStyle name="40% - Ênfase3 2 3" xfId="96" xr:uid="{FD27A8D1-3BA6-4E21-A5D0-81F7A791C420}"/>
    <cellStyle name="40% - Ênfase3 2 4" xfId="97" xr:uid="{9EB88F02-627B-462C-9722-01551157E195}"/>
    <cellStyle name="40% - Ênfase3 2_Compo" xfId="98" xr:uid="{94E391E1-8342-4892-9A08-5BC09BB650F9}"/>
    <cellStyle name="40% - Ênfase3 3" xfId="99" xr:uid="{6C84C567-AC8A-4420-868C-375B902150E3}"/>
    <cellStyle name="40% - Ênfase3 4" xfId="100" xr:uid="{CE56D354-17F7-4A0B-A47B-648AC7E1BD09}"/>
    <cellStyle name="40% - Ênfase3 5" xfId="101" xr:uid="{4D3BC268-DB84-40A8-A206-BE6CA569A848}"/>
    <cellStyle name="40% - Ênfase4 2" xfId="102" xr:uid="{63E45D1C-67BE-44E0-B516-C2629CD8F693}"/>
    <cellStyle name="40% - Ênfase4 2 2" xfId="103" xr:uid="{62F5A2E6-4ACF-4EB1-82D0-476D60D2CBF6}"/>
    <cellStyle name="40% - Ênfase4 2 3" xfId="104" xr:uid="{70FBFC2A-D4FF-4D80-80F6-DEA3CFC7AFC3}"/>
    <cellStyle name="40% - Ênfase4 2 4" xfId="105" xr:uid="{196FBA1B-B546-408F-9B7D-C73B882ABA2F}"/>
    <cellStyle name="40% - Ênfase4 2_Compo" xfId="106" xr:uid="{DB1255B7-C6B5-4BC3-8749-260791A9B315}"/>
    <cellStyle name="40% - Ênfase4 3" xfId="107" xr:uid="{CF183848-25B9-4434-BF41-73A5488EC7E7}"/>
    <cellStyle name="40% - Ênfase4 4" xfId="108" xr:uid="{215655EC-62A3-41E6-A437-52F061C4DA12}"/>
    <cellStyle name="40% - Ênfase4 5" xfId="109" xr:uid="{3D3D3F1A-8E4B-4ADD-9617-47A40E434ED2}"/>
    <cellStyle name="40% - Ênfase5 2" xfId="110" xr:uid="{D10686C4-C645-45A8-9636-7EB2DCC2EAC1}"/>
    <cellStyle name="40% - Ênfase5 2 2" xfId="111" xr:uid="{24A0C555-021D-4E56-AC0F-F21F3E7B9B69}"/>
    <cellStyle name="40% - Ênfase5 2 3" xfId="112" xr:uid="{6BDCCF6A-2CCB-4282-8D58-64A573468552}"/>
    <cellStyle name="40% - Ênfase5 2 4" xfId="113" xr:uid="{3F0A044E-1136-48C3-97A0-316C7964B326}"/>
    <cellStyle name="40% - Ênfase5 2_Compo" xfId="114" xr:uid="{1C24C30A-C955-49BC-95B9-91FC28C1A316}"/>
    <cellStyle name="40% - Ênfase5 3" xfId="115" xr:uid="{7B89641B-79CB-4215-9078-67BD8BCF17C3}"/>
    <cellStyle name="40% - Ênfase5 4" xfId="116" xr:uid="{1E0C3784-ED78-4BEE-B1D8-93D56977B807}"/>
    <cellStyle name="40% - Ênfase5 5" xfId="117" xr:uid="{745259F1-C38F-4756-8419-7400DF407DEC}"/>
    <cellStyle name="40% - Ênfase6 2" xfId="118" xr:uid="{E9273AAA-8C44-436C-B79E-3886C256668D}"/>
    <cellStyle name="40% - Ênfase6 2 2" xfId="119" xr:uid="{0D54F4CC-6D68-42A2-9F5A-856C81805D43}"/>
    <cellStyle name="40% - Ênfase6 2 3" xfId="120" xr:uid="{EE76A34A-45C8-4532-BA80-3846B119E590}"/>
    <cellStyle name="40% - Ênfase6 2 4" xfId="121" xr:uid="{D1B9127A-EA67-4170-80C7-C79570772B44}"/>
    <cellStyle name="40% - Ênfase6 2_Compo" xfId="122" xr:uid="{EAAA45CF-AD3A-4DCB-A7B7-D2A05AD134A3}"/>
    <cellStyle name="40% - Ênfase6 3" xfId="123" xr:uid="{1C7FCE49-CC9A-42FD-92B4-A63B594D9EB1}"/>
    <cellStyle name="40% - Ênfase6 4" xfId="124" xr:uid="{298E146B-70C3-4862-8218-F1EC86784F8C}"/>
    <cellStyle name="40% - Ênfase6 5" xfId="125" xr:uid="{E55D6510-4BCD-4FEA-9633-6F78002B045C}"/>
    <cellStyle name="60% - Accent1" xfId="126" xr:uid="{679518C0-957E-4018-84F1-2A9F77824140}"/>
    <cellStyle name="60% - Accent2" xfId="127" xr:uid="{A2CE69E5-AB02-4FE1-9821-5D39155E2526}"/>
    <cellStyle name="60% - Accent3" xfId="128" xr:uid="{D860B58F-BA61-4D8A-B00F-F2871278D614}"/>
    <cellStyle name="60% - Accent4" xfId="129" xr:uid="{7251A87A-DD2B-41DA-BD38-5CD8C27A696D}"/>
    <cellStyle name="60% - Accent5" xfId="130" xr:uid="{8E3DA730-8A8C-4E1B-9F42-70E4DDE8F81E}"/>
    <cellStyle name="60% - Accent6" xfId="131" xr:uid="{7B822DB5-3E91-4BBB-ADC1-4B784DDF413B}"/>
    <cellStyle name="60% - Ênfase1 2" xfId="132" xr:uid="{A8C5FA47-F554-4C3D-94D7-6D0183D13AD9}"/>
    <cellStyle name="60% - Ênfase1 2 2" xfId="133" xr:uid="{2AAFE88F-7857-4DBD-BD0E-93FFAE132A9A}"/>
    <cellStyle name="60% - Ênfase1 2 3" xfId="134" xr:uid="{0A42A7D5-23E6-4EFF-BDFE-A898BAC68E54}"/>
    <cellStyle name="60% - Ênfase1 2_ORÇAMENTO - FORUM DE V. GRANDE" xfId="135" xr:uid="{608E8B69-40F9-4CD9-8928-76F8A456BE32}"/>
    <cellStyle name="60% - Ênfase1 3" xfId="136" xr:uid="{298794C2-42CB-4EB8-B875-785BF465F4C1}"/>
    <cellStyle name="60% - Ênfase1 4" xfId="137" xr:uid="{C0BD0C13-205A-4C65-9D12-C114223E546F}"/>
    <cellStyle name="60% - Ênfase1 5" xfId="138" xr:uid="{5914ACF7-578C-48D5-9DA7-A02F56F51D3D}"/>
    <cellStyle name="60% - Ênfase1 6" xfId="139" xr:uid="{66F080CB-4EA6-4444-8A46-84C042B8AEC4}"/>
    <cellStyle name="60% - Ênfase2 2" xfId="140" xr:uid="{869AB83A-751C-47E9-AC6E-2108372ADBEE}"/>
    <cellStyle name="60% - Ênfase2 2 2" xfId="141" xr:uid="{D4915D8E-42BA-4C90-A26B-FF7E04F83A7F}"/>
    <cellStyle name="60% - Ênfase2 2 3" xfId="142" xr:uid="{3FB84D9F-36D2-4099-AFEC-3CBC5EE4E611}"/>
    <cellStyle name="60% - Ênfase2 2_ORÇAMENTO - FORUM DE V. GRANDE" xfId="143" xr:uid="{737C8508-29F2-4368-9372-8DBDCDAA8ABC}"/>
    <cellStyle name="60% - Ênfase2 3" xfId="144" xr:uid="{65BBAB1C-E3BB-4CA5-9415-CD3FD563837E}"/>
    <cellStyle name="60% - Ênfase2 4" xfId="145" xr:uid="{3528F530-9C0C-48B7-BE56-667AE5DE8873}"/>
    <cellStyle name="60% - Ênfase2 5" xfId="146" xr:uid="{4272D938-3535-417B-A669-314118CBA367}"/>
    <cellStyle name="60% - Ênfase2 6" xfId="147" xr:uid="{922340C7-4B5D-4C02-B5BE-62E81E929C5C}"/>
    <cellStyle name="60% - Ênfase3 2" xfId="148" xr:uid="{4C2243D1-5AD7-47E1-B82F-4B76A6ABC25A}"/>
    <cellStyle name="60% - Ênfase3 2 2" xfId="149" xr:uid="{C1E83B5A-0F29-4075-BD75-664180CB58CF}"/>
    <cellStyle name="60% - Ênfase3 2 3" xfId="150" xr:uid="{F787A432-0923-4E93-B9A7-635A6C3109B8}"/>
    <cellStyle name="60% - Ênfase3 2_ORÇAMENTO - FORUM DE V. GRANDE" xfId="151" xr:uid="{7C33171B-378A-4853-BFE9-E4BBC8D5B3D1}"/>
    <cellStyle name="60% - Ênfase3 3" xfId="152" xr:uid="{B976440D-E384-4F12-B261-8F9C088E79CE}"/>
    <cellStyle name="60% - Ênfase3 4" xfId="153" xr:uid="{8B5E734C-CBA1-4391-9D07-70EDD6C4B104}"/>
    <cellStyle name="60% - Ênfase3 5" xfId="154" xr:uid="{2E467D50-1F4F-4BD1-9D0E-501094A5AC09}"/>
    <cellStyle name="60% - Ênfase3 6" xfId="155" xr:uid="{41D47B48-6840-49FC-9411-37F911F0155B}"/>
    <cellStyle name="60% - Ênfase4 2" xfId="156" xr:uid="{A2C60E71-4940-4935-925F-660C100A7696}"/>
    <cellStyle name="60% - Ênfase4 2 2" xfId="157" xr:uid="{89A88A86-10BA-4A6A-9718-FF9753BDEC9D}"/>
    <cellStyle name="60% - Ênfase4 2 3" xfId="158" xr:uid="{5F3FD026-2412-4CCC-9965-6D15AE551F7F}"/>
    <cellStyle name="60% - Ênfase4 2_ORÇAMENTO - FORUM DE V. GRANDE" xfId="159" xr:uid="{9223D76D-91E1-49BE-A37B-9DC0B1DEECC2}"/>
    <cellStyle name="60% - Ênfase4 3" xfId="160" xr:uid="{79BDDC43-CC38-47F5-B357-6C1A7991D12F}"/>
    <cellStyle name="60% - Ênfase4 4" xfId="161" xr:uid="{EF3682AD-1AA4-49D4-86B2-2501F8611E88}"/>
    <cellStyle name="60% - Ênfase4 5" xfId="162" xr:uid="{12B06AED-2661-45AC-8EFE-B2A29BF46351}"/>
    <cellStyle name="60% - Ênfase4 6" xfId="163" xr:uid="{50E34AA5-0FE9-48CF-B97D-E78FBC50D771}"/>
    <cellStyle name="60% - Ênfase5 2" xfId="164" xr:uid="{476CA515-3801-4254-8ACC-4CB0B82BBE19}"/>
    <cellStyle name="60% - Ênfase5 2 2" xfId="165" xr:uid="{21A3B036-716D-41C5-AE7E-A4603E09404B}"/>
    <cellStyle name="60% - Ênfase5 2 3" xfId="166" xr:uid="{81F4E0A4-6E87-49D4-BBDF-90D0D2E5DBC0}"/>
    <cellStyle name="60% - Ênfase5 2_ORÇAMENTO - FORUM DE V. GRANDE" xfId="167" xr:uid="{7F8FADCF-A3FB-4C12-AD26-A87870A3D74A}"/>
    <cellStyle name="60% - Ênfase5 3" xfId="168" xr:uid="{556FE74C-FB73-4072-AC4C-F1D5646FDFF1}"/>
    <cellStyle name="60% - Ênfase5 4" xfId="169" xr:uid="{3C76323B-B4D7-4408-B387-AFF599DED530}"/>
    <cellStyle name="60% - Ênfase5 5" xfId="170" xr:uid="{CF8DBAA5-7640-434B-9674-8ABB9B9912F3}"/>
    <cellStyle name="60% - Ênfase5 6" xfId="171" xr:uid="{75137FF4-834F-4AF7-868C-D2F8CB7357DC}"/>
    <cellStyle name="60% - Ênfase6 2" xfId="172" xr:uid="{6A9647EF-5BC4-4B2D-81D1-BF6CE96B17AA}"/>
    <cellStyle name="60% - Ênfase6 2 2" xfId="173" xr:uid="{52304C36-2E32-4683-8D82-40A499CDFA92}"/>
    <cellStyle name="60% - Ênfase6 2 3" xfId="174" xr:uid="{1B4D07EF-9B7E-4FF0-BC86-E5624621E540}"/>
    <cellStyle name="60% - Ênfase6 2_ORÇAMENTO - FORUM DE V. GRANDE" xfId="175" xr:uid="{B8C6F27A-B059-44F2-BD22-AF1989E88273}"/>
    <cellStyle name="60% - Ênfase6 3" xfId="176" xr:uid="{D01D65C2-1571-4F1C-AFC2-7C3A37292858}"/>
    <cellStyle name="60% - Ênfase6 4" xfId="177" xr:uid="{756AD390-ACC9-4191-8E36-E5A36287CC2B}"/>
    <cellStyle name="60% - Ênfase6 5" xfId="178" xr:uid="{48A37D13-DDCD-483B-A9C1-203BFE48994C}"/>
    <cellStyle name="60% - Ênfase6 6" xfId="179" xr:uid="{8282EEE0-9F21-408E-BD0B-09D331BF8993}"/>
    <cellStyle name="Accent1" xfId="180" xr:uid="{76C4813C-0736-4834-9512-CC7EE7EFA974}"/>
    <cellStyle name="Accent2" xfId="181" xr:uid="{5CD38544-1A86-40F4-88BF-E4AC433E55D6}"/>
    <cellStyle name="Accent3" xfId="182" xr:uid="{3374032A-2B1B-4851-8067-9C4BE6E2343A}"/>
    <cellStyle name="Accent4" xfId="183" xr:uid="{F288C1FE-3ED5-450E-864F-36F0326A889B}"/>
    <cellStyle name="Accent5" xfId="184" xr:uid="{5D81EAE5-4F37-4009-A5F1-A5DA785118A4}"/>
    <cellStyle name="Accent6" xfId="185" xr:uid="{1A1F6C23-919E-44B7-BF86-0C256C80F8CA}"/>
    <cellStyle name="Bad" xfId="186" xr:uid="{B3962143-FE11-47AA-BB43-C8D88D4D32B2}"/>
    <cellStyle name="Bom 2" xfId="187" xr:uid="{8D305D16-A98D-4E38-B774-53F960618FC2}"/>
    <cellStyle name="Bom 2 2" xfId="188" xr:uid="{9F9A05E4-676B-4D5E-A9ED-7C61625FF879}"/>
    <cellStyle name="Bom 2 3" xfId="189" xr:uid="{BCF38ECB-9BBB-470E-B2D5-D33A56E43264}"/>
    <cellStyle name="Bom 2_ORÇAMENTO - FORUM DE V. GRANDE" xfId="190" xr:uid="{2D0FBF03-4EEC-410B-82CB-11DDDA92351D}"/>
    <cellStyle name="Bom 3" xfId="191" xr:uid="{9D256252-81DC-4710-96A5-D0CEED00A22B}"/>
    <cellStyle name="Bom 4" xfId="192" xr:uid="{D57A538D-5178-4345-BA0A-2CD3BCD52680}"/>
    <cellStyle name="Bom 5" xfId="193" xr:uid="{DAC64BB9-C3CE-4142-B7FD-45733C7EBF0F}"/>
    <cellStyle name="Bom 6" xfId="194" xr:uid="{1537BACC-694B-4FAC-B7EE-89774CDB4794}"/>
    <cellStyle name="Calculation" xfId="195" xr:uid="{A3D34936-625B-4CDB-BD09-FE669E2ED47B}"/>
    <cellStyle name="Cálculo 2" xfId="196" xr:uid="{6CA113CA-40EB-459C-899C-14A2C179CAB5}"/>
    <cellStyle name="Cálculo 2 2" xfId="197" xr:uid="{D7B008A9-682A-4D25-B6F4-DE47EFD234D3}"/>
    <cellStyle name="Cálculo 2 3" xfId="198" xr:uid="{4995D465-4873-4C19-8BE0-BD8BE527D912}"/>
    <cellStyle name="Cálculo 2_CIVIL- BL 1-2-3-4-5-6-7-8 " xfId="199" xr:uid="{14705A93-94FA-497E-A1A7-E04AB7DC5451}"/>
    <cellStyle name="Cálculo 3" xfId="200" xr:uid="{D4D0D6BF-B4DD-4C6F-ACB7-E435615AAFCF}"/>
    <cellStyle name="Cálculo 4" xfId="201" xr:uid="{5A68C639-B4F0-4E66-B550-E25DDF2B6716}"/>
    <cellStyle name="Cálculo 5" xfId="202" xr:uid="{1D7C4F8C-4E5B-4337-BA79-A1634B8F5416}"/>
    <cellStyle name="Cálculo 6" xfId="203" xr:uid="{E6D228EC-2903-48AD-9F0D-02B2A51802FF}"/>
    <cellStyle name="Cancel" xfId="204" xr:uid="{14C394E3-FDB3-4555-A1C4-D1FC6ECB0C7E}"/>
    <cellStyle name="Célula de Verificação 2" xfId="205" xr:uid="{4F6533F0-1EAE-4A9F-8F8D-D910A599298E}"/>
    <cellStyle name="Célula de Verificação 2 2" xfId="206" xr:uid="{BCA4654F-174B-45D7-9168-F46CF362B2DC}"/>
    <cellStyle name="Célula de Verificação 2 3" xfId="207" xr:uid="{14F5067D-2F45-4DA2-97CF-FBF6D374715D}"/>
    <cellStyle name="Célula de Verificação 2_CIVIL- BL 1-2-3-4-5-6-7-8 " xfId="208" xr:uid="{E85953A4-AD69-44AB-A6D5-07AC7A27EB91}"/>
    <cellStyle name="Célula de Verificação 3" xfId="209" xr:uid="{92CE6D80-1925-4801-A040-3A90F22F4698}"/>
    <cellStyle name="Célula de Verificação 4" xfId="210" xr:uid="{970635AC-49E5-4D65-801D-CD61C1983010}"/>
    <cellStyle name="Célula de Verificação 5" xfId="211" xr:uid="{958AC34D-D23E-4729-B9E9-6AB27D109ACE}"/>
    <cellStyle name="Célula de Verificação 6" xfId="212" xr:uid="{AF4AFB3B-5380-44FD-8F83-A7AF04058F91}"/>
    <cellStyle name="Célula Vinculada 2" xfId="213" xr:uid="{CF708B2A-A76A-432B-91D2-7B8A728EA154}"/>
    <cellStyle name="Célula Vinculada 2 2" xfId="214" xr:uid="{3EAD9E99-FC7B-4F1E-942D-CAA852D5D9F3}"/>
    <cellStyle name="Célula Vinculada 2 3" xfId="215" xr:uid="{B09E868D-494E-45CD-BDDC-B8F60C911377}"/>
    <cellStyle name="Célula Vinculada 2_CIVIL- BL 1-2-3-4-5-6-7-8 " xfId="216" xr:uid="{30DB5F05-4859-47E2-A4F0-B19F5B6227A2}"/>
    <cellStyle name="Célula Vinculada 3" xfId="217" xr:uid="{7DDF9F2E-0CA3-4E72-B44E-4E0CF896BCF9}"/>
    <cellStyle name="Célula Vinculada 4" xfId="218" xr:uid="{E17C2E28-A308-4DF3-ADB5-907BC4BD1911}"/>
    <cellStyle name="Célula Vinculada 5" xfId="219" xr:uid="{4BB1DED4-955D-4E16-82B3-69FF20396E8C}"/>
    <cellStyle name="Célula Vinculada 6" xfId="220" xr:uid="{778E43D4-198D-44CD-9C3F-C201B3686550}"/>
    <cellStyle name="Check Cell" xfId="221" xr:uid="{3E080E71-6D05-42C9-AEFE-F51C3F0359F8}"/>
    <cellStyle name="Comma0" xfId="222" xr:uid="{65E1B079-B925-40BD-B408-EDB0E6556442}"/>
    <cellStyle name="Currency0" xfId="223" xr:uid="{280857D0-8680-4C89-B280-BB0B3F068598}"/>
    <cellStyle name="Ênfase1 2" xfId="224" xr:uid="{84FA171C-210B-48E6-ABF5-009F955AFA03}"/>
    <cellStyle name="Ênfase1 2 2" xfId="225" xr:uid="{19397BA0-2CB6-46F5-A454-432A3E54FAD6}"/>
    <cellStyle name="Ênfase1 2 3" xfId="226" xr:uid="{35EE060F-F038-4DD9-B69B-CE36597A5513}"/>
    <cellStyle name="Ênfase1 2_ORÇAMENTO - FORUM DE V. GRANDE" xfId="227" xr:uid="{61C419E7-4780-4C1F-BF06-E60F31BA2218}"/>
    <cellStyle name="Ênfase1 3" xfId="228" xr:uid="{8386B691-8825-406D-81AC-D34198EF7751}"/>
    <cellStyle name="Ênfase1 4" xfId="229" xr:uid="{2EC40457-B013-4B05-82A7-419152C8E640}"/>
    <cellStyle name="Ênfase1 5" xfId="230" xr:uid="{F4BBD88E-9BDA-4453-BC25-79C14ABD78C3}"/>
    <cellStyle name="Ênfase1 6" xfId="231" xr:uid="{D712DBB5-DECA-4221-BE15-813EE40932E2}"/>
    <cellStyle name="Ênfase2 2" xfId="232" xr:uid="{07439214-E2E4-40FE-8A99-1A44C67EA9DF}"/>
    <cellStyle name="Ênfase2 2 2" xfId="233" xr:uid="{12F36CAF-E288-470E-8ABF-2966B2389A81}"/>
    <cellStyle name="Ênfase2 2 3" xfId="234" xr:uid="{B5D4192D-ED1A-4413-9F17-162B6338FECD}"/>
    <cellStyle name="Ênfase2 2_ORÇAMENTO - FORUM DE V. GRANDE" xfId="235" xr:uid="{B06D4672-68DF-40FD-AEE4-7314BC5C8D42}"/>
    <cellStyle name="Ênfase2 3" xfId="236" xr:uid="{3F349684-CC12-452D-931B-4C61AFE08C51}"/>
    <cellStyle name="Ênfase2 4" xfId="237" xr:uid="{1D8FDC9E-7664-4131-A28C-44CA597FBAC4}"/>
    <cellStyle name="Ênfase2 5" xfId="238" xr:uid="{56F79D6A-11FF-470B-B915-033F97122BAA}"/>
    <cellStyle name="Ênfase2 6" xfId="239" xr:uid="{E4B0843E-C151-45D2-87B8-90781734D56E}"/>
    <cellStyle name="Ênfase3 2" xfId="240" xr:uid="{777956DE-AE7E-442B-B524-FFEC38F6B371}"/>
    <cellStyle name="Ênfase3 2 2" xfId="241" xr:uid="{00FFD700-4026-4B2F-A323-C841C250A2B7}"/>
    <cellStyle name="Ênfase3 2 3" xfId="242" xr:uid="{91690696-20B9-4D24-8A5B-8AE16EEF6931}"/>
    <cellStyle name="Ênfase3 2_ORÇAMENTO - FORUM DE V. GRANDE" xfId="243" xr:uid="{8DED7186-E77D-40B4-97EE-92ED77C4CD4B}"/>
    <cellStyle name="Ênfase3 3" xfId="244" xr:uid="{5F1396F7-E163-42DA-B195-C77D8F417C49}"/>
    <cellStyle name="Ênfase3 4" xfId="245" xr:uid="{24C5A8C3-D5C8-4DCD-AB51-C96F00B375BD}"/>
    <cellStyle name="Ênfase3 5" xfId="246" xr:uid="{C05AA80F-A627-4757-BEAC-3E5CF17089AC}"/>
    <cellStyle name="Ênfase3 6" xfId="247" xr:uid="{689C8960-D1B9-426E-B4F5-18B0705EEBE0}"/>
    <cellStyle name="Ênfase4 2" xfId="248" xr:uid="{97A830D2-0EE6-428A-B020-8B8043A36775}"/>
    <cellStyle name="Ênfase4 2 2" xfId="249" xr:uid="{2693849A-758C-42F7-877E-6417376DBBC3}"/>
    <cellStyle name="Ênfase4 2 3" xfId="250" xr:uid="{0CE3B393-252B-40EF-8CA6-1F6A2E03EE62}"/>
    <cellStyle name="Ênfase4 2_ORÇAMENTO - FORUM DE V. GRANDE" xfId="251" xr:uid="{AEA603F6-1CD6-42E4-88C9-57EB181A68D4}"/>
    <cellStyle name="Ênfase4 3" xfId="252" xr:uid="{82579C68-8220-45E7-9121-1FF07A9D914D}"/>
    <cellStyle name="Ênfase4 4" xfId="253" xr:uid="{1EEBEE7E-CD7D-4009-B17B-2F585F72E932}"/>
    <cellStyle name="Ênfase4 5" xfId="254" xr:uid="{010BAB07-928F-46BF-9CFA-67B8412C9F35}"/>
    <cellStyle name="Ênfase4 6" xfId="255" xr:uid="{D44B2619-A1C6-412E-8460-E6233F03EA06}"/>
    <cellStyle name="Ênfase5 2" xfId="256" xr:uid="{5AA74EFA-F127-4279-9CED-191CE9412F49}"/>
    <cellStyle name="Ênfase5 2 2" xfId="257" xr:uid="{888C026F-1D32-42D7-8484-E5F73C20A285}"/>
    <cellStyle name="Ênfase5 2 3" xfId="258" xr:uid="{DE0E57B0-E7D4-4AB5-B9BB-13549C964F94}"/>
    <cellStyle name="Ênfase5 2_ORÇAMENTO - FORUM DE V. GRANDE" xfId="259" xr:uid="{FA071DB0-FD36-4E76-8B4C-A2A7F5E85DA2}"/>
    <cellStyle name="Ênfase5 3" xfId="260" xr:uid="{9FDF7221-E7EC-49C8-95BB-8C517FDDA1EC}"/>
    <cellStyle name="Ênfase5 4" xfId="261" xr:uid="{7B939B60-A88E-4768-A2C0-ECB5D180EAEC}"/>
    <cellStyle name="Ênfase5 5" xfId="262" xr:uid="{E2F63FD1-B02B-4157-AAE6-FFD903D69435}"/>
    <cellStyle name="Ênfase5 6" xfId="263" xr:uid="{34BA846E-5522-4FD0-B00A-7FE621E41633}"/>
    <cellStyle name="Ênfase6 2" xfId="264" xr:uid="{4BB96399-A0D3-4DE2-8620-A652D7EFD1C8}"/>
    <cellStyle name="Ênfase6 2 2" xfId="265" xr:uid="{A7E0E96F-EFDA-4EF0-BE87-7FFC4EACC0E8}"/>
    <cellStyle name="Ênfase6 2 3" xfId="266" xr:uid="{1E907429-222D-4E91-8E59-626C4152FB0C}"/>
    <cellStyle name="Ênfase6 2_ORÇAMENTO - FORUM DE V. GRANDE" xfId="267" xr:uid="{784347BF-5BA2-41F8-B43C-D92A6F184D07}"/>
    <cellStyle name="Ênfase6 3" xfId="268" xr:uid="{82C91BF0-BC18-4C90-98D1-E1CC9CFAE148}"/>
    <cellStyle name="Ênfase6 4" xfId="269" xr:uid="{2017F619-7C7A-4757-A570-48B8BFB604E7}"/>
    <cellStyle name="Ênfase6 5" xfId="270" xr:uid="{7B5B2A08-6A92-4579-A980-A17587006160}"/>
    <cellStyle name="Ênfase6 6" xfId="271" xr:uid="{B9016749-104F-4368-AD77-8A742E74AB0A}"/>
    <cellStyle name="Entrada 2" xfId="272" xr:uid="{B3AE01E6-8FE6-48CD-90BA-2CEB08441B33}"/>
    <cellStyle name="Entrada 2 2" xfId="273" xr:uid="{B0E5CABD-CD00-46F4-A205-9C8139FECFB5}"/>
    <cellStyle name="Entrada 2 3" xfId="274" xr:uid="{27B31AA4-CCEB-4377-BA67-0B3993C8CD1E}"/>
    <cellStyle name="Entrada 2_CIVIL- BL 1-2-3-4-5-6-7-8 " xfId="275" xr:uid="{0FEDC666-F4CD-4BFB-9E0D-5ED2DD79104F}"/>
    <cellStyle name="Entrada 3" xfId="276" xr:uid="{B7BEDFF8-42FC-4421-B8EB-A7B75CBB9642}"/>
    <cellStyle name="Entrada 4" xfId="277" xr:uid="{F414543E-1122-438D-9F48-E12A6CD0DE05}"/>
    <cellStyle name="Entrada 5" xfId="278" xr:uid="{A8C1B9F1-338F-4516-99DE-B00755852C55}"/>
    <cellStyle name="Entrada 6" xfId="279" xr:uid="{F3ACE41D-A946-4E68-8F07-26F6518A9354}"/>
    <cellStyle name="Estilo 1" xfId="280" xr:uid="{13D02402-CFD6-417D-9737-CA87594A24A2}"/>
    <cellStyle name="Euro" xfId="281" xr:uid="{D6601299-97C9-4705-A83D-B4610E377798}"/>
    <cellStyle name="Euro 2" xfId="282" xr:uid="{FFF2020A-F89F-4662-A6BE-A3E188E1C929}"/>
    <cellStyle name="Euro 2 2" xfId="283" xr:uid="{D7B5F285-CF21-4500-BF67-A4F51C09CB4C}"/>
    <cellStyle name="Euro 3" xfId="284" xr:uid="{DDBF3FFB-00EE-4C4B-943F-68790911CDE1}"/>
    <cellStyle name="Excel Built-in Normal" xfId="285" xr:uid="{BA2850F1-256A-4C96-8917-A63DFA45507C}"/>
    <cellStyle name="Excel Built-in Normal 1 1" xfId="286" xr:uid="{6C58E9A6-A066-4E35-97AA-16999BD38146}"/>
    <cellStyle name="Excel Built-in Normal 10 3" xfId="287" xr:uid="{68EAEA2F-AD1B-4EF3-93A5-7DDCDBF6B82D}"/>
    <cellStyle name="Excel Built-in Vírgula 6" xfId="288" xr:uid="{9127045E-5847-45EC-8A4E-076691E0DB1A}"/>
    <cellStyle name="Explanatory Text" xfId="289" xr:uid="{103B8846-8FFE-489C-BAB6-729F73B09D3A}"/>
    <cellStyle name="Good" xfId="290" xr:uid="{FEA70C5B-9092-4FBA-BEC6-DC129910D533}"/>
    <cellStyle name="Heading 1" xfId="291" xr:uid="{EFB10EE7-5061-4F7E-AABE-353629DDC24E}"/>
    <cellStyle name="Heading 2" xfId="292" xr:uid="{4266964D-0A72-4F4D-8C96-C26C33821242}"/>
    <cellStyle name="Heading 3" xfId="293" xr:uid="{ACD542C8-954C-446D-85E1-38784B6150D1}"/>
    <cellStyle name="Heading 4" xfId="294" xr:uid="{F6CAE2AE-909E-4345-9059-8442CEC0EF38}"/>
    <cellStyle name="Hiperlink 2" xfId="295" xr:uid="{9D9E3F36-C903-4BF0-8AAF-8638F16F6F04}"/>
    <cellStyle name="Hiperlink 3" xfId="1099" xr:uid="{41A52EF1-EE2D-44C2-8F37-88C3C3479881}"/>
    <cellStyle name="Hyperlink 2" xfId="296" xr:uid="{EAB90C9D-AEC1-40DB-A14C-F09EFEB6ED61}"/>
    <cellStyle name="Incorreto 2" xfId="297" xr:uid="{ADACAFD0-7642-4446-AC94-1759362AA3B5}"/>
    <cellStyle name="Incorreto 2 2" xfId="298" xr:uid="{BE2178CF-DCF8-455C-9A23-42A064878433}"/>
    <cellStyle name="Incorreto 2 3" xfId="299" xr:uid="{CCC0B69B-DC73-4C02-959B-E9EDBD96B5A0}"/>
    <cellStyle name="Incorreto 2_ORÇAMENTO - FORUM DE V. GRANDE" xfId="300" xr:uid="{7AE54272-2930-4861-AEF7-A2C8D1F27356}"/>
    <cellStyle name="Incorreto 3" xfId="301" xr:uid="{F28F9363-8C09-468C-B422-33973E321178}"/>
    <cellStyle name="Incorreto 4" xfId="302" xr:uid="{30AA143D-71C9-4AF6-9FF6-2BEC97273EB7}"/>
    <cellStyle name="Incorreto 5" xfId="303" xr:uid="{CDFD8DD6-12BC-4841-A64D-D20CE3D4BB4D}"/>
    <cellStyle name="Incorreto 6" xfId="304" xr:uid="{2AD67833-D4A8-4F99-BEA9-098204F4E4DA}"/>
    <cellStyle name="Input" xfId="305" xr:uid="{C7C3390A-4D4C-4BFB-8B28-F9D77C1B1791}"/>
    <cellStyle name="Linked Cell" xfId="306" xr:uid="{E87D948E-08E5-40A6-8EA8-9A637859D333}"/>
    <cellStyle name="Moeda 10" xfId="308" xr:uid="{B616BB42-8F17-4B0E-9452-5701AF7580F5}"/>
    <cellStyle name="Moeda 11" xfId="307" xr:uid="{2430A42D-0947-4037-B7C6-273F60580C46}"/>
    <cellStyle name="Moeda 2" xfId="309" xr:uid="{C0C99407-BA0A-4AEF-8ED5-5734B5D8B061}"/>
    <cellStyle name="Moeda 2 2" xfId="310" xr:uid="{2C447042-7FCB-4D82-A7D9-11F4CA98FA6C}"/>
    <cellStyle name="Moeda 2 3" xfId="311" xr:uid="{86AEAEF5-6B80-42AE-BDE4-7173E5320AD2}"/>
    <cellStyle name="Moeda 2_ORÇAMENTO - FORUM DE V. GRANDE" xfId="312" xr:uid="{2EB9C757-1D67-412A-9691-0561028CCFA5}"/>
    <cellStyle name="Moeda 24" xfId="313" xr:uid="{05EEF1B0-EECB-4F92-AA67-D1A4274F0BA7}"/>
    <cellStyle name="Moeda 3" xfId="314" xr:uid="{C48D0D03-274B-44B1-B4B8-406B2192BB53}"/>
    <cellStyle name="Moeda 4" xfId="315" xr:uid="{99B5646D-4005-402E-AF43-26F1ACDC1756}"/>
    <cellStyle name="Moeda 5" xfId="316" xr:uid="{059C4D39-FC79-4B03-A80A-26CE07321AFC}"/>
    <cellStyle name="Moeda 6" xfId="317" xr:uid="{B616ABFD-9C8E-47BC-A01F-3DFAB363DAD5}"/>
    <cellStyle name="Moeda 7" xfId="318" xr:uid="{F102946D-AC90-4630-BEED-F119A8FDD6BF}"/>
    <cellStyle name="Moeda 8" xfId="319" xr:uid="{C467463A-CB51-41F8-A17D-9BC436A07DA5}"/>
    <cellStyle name="Moeda 9" xfId="320" xr:uid="{2E26098C-8357-4FB0-86BA-91740AFD6384}"/>
    <cellStyle name="Neutra 2" xfId="321" xr:uid="{FDFF4454-6AE6-465E-BCE5-88BE83BFDC6E}"/>
    <cellStyle name="Neutra 2 2" xfId="322" xr:uid="{FDB327D2-8B29-466E-B896-4928513625F6}"/>
    <cellStyle name="Neutra 2 3" xfId="323" xr:uid="{4ACE647D-0447-476A-9137-80AC1E94AEAC}"/>
    <cellStyle name="Neutra 2_ORÇAMENTO - FORUM DE V. GRANDE" xfId="324" xr:uid="{EEA1A3F8-7587-4E71-BF74-DA2C3B7B405C}"/>
    <cellStyle name="Neutra 3" xfId="325" xr:uid="{3F42CA38-C36A-496D-BD4D-BF2DF0DF5086}"/>
    <cellStyle name="Neutra 4" xfId="326" xr:uid="{38FD0B3C-8777-45C8-87D1-77D3DEDE2CAB}"/>
    <cellStyle name="Neutra 5" xfId="327" xr:uid="{CC9AA9FC-93F8-4E11-B4EA-D6775A5594FA}"/>
    <cellStyle name="Neutra 6" xfId="328" xr:uid="{B563EA1A-F277-4576-8F6E-EB1D8AF4AA8B}"/>
    <cellStyle name="Neutral" xfId="329" xr:uid="{ACC9CCF8-3E7B-4A2B-9232-8AA18B13341D}"/>
    <cellStyle name="Normal" xfId="0" builtinId="0"/>
    <cellStyle name="Normal 10" xfId="330" xr:uid="{93B05E3C-546C-4D55-A484-8868795499A4}"/>
    <cellStyle name="Normal 10 2" xfId="331" xr:uid="{F73E73BA-45AF-45EA-AC77-9913C1846E2B}"/>
    <cellStyle name="Normal 10_Compo-Civil" xfId="332" xr:uid="{086262A7-1428-4028-904C-8E3DDF1EAF1D}"/>
    <cellStyle name="Normal 11" xfId="333" xr:uid="{3C5B7038-5CAF-4FCB-91FB-CF0D22FA4BF6}"/>
    <cellStyle name="Normal 11 2" xfId="334" xr:uid="{F43D83BE-0EAB-4A26-9BBA-9D4C12E5EB30}"/>
    <cellStyle name="Normal 11_Compo-Civil" xfId="335" xr:uid="{875E0286-026E-4F41-84F4-88ECB064FE97}"/>
    <cellStyle name="Normal 12" xfId="336" xr:uid="{34BE9288-3E1D-4355-930F-33CE61027A03}"/>
    <cellStyle name="Normal 12 2" xfId="337" xr:uid="{945EE3F5-89C5-4833-B476-A7AA7D345FEF}"/>
    <cellStyle name="Normal 12_Compo-Civil" xfId="338" xr:uid="{370A6809-214C-4466-A034-E4C3594048A1}"/>
    <cellStyle name="Normal 13" xfId="339" xr:uid="{65458213-E2FF-4440-ABB3-209F16204D60}"/>
    <cellStyle name="Normal 13 2" xfId="340" xr:uid="{091B511C-8A2B-44A8-9067-B13AC8B34419}"/>
    <cellStyle name="Normal 13 2 2" xfId="341" xr:uid="{BD74FA1E-1193-4726-B445-E4DF6E41AB78}"/>
    <cellStyle name="Normal 13 2 3" xfId="342" xr:uid="{EE47D4B1-4623-448E-A327-0EAB59CBA75A}"/>
    <cellStyle name="Normal 13 2_Compo-Civil" xfId="343" xr:uid="{952A0A8F-5218-4988-88A4-739F9F1E750C}"/>
    <cellStyle name="Normal 13 3" xfId="344" xr:uid="{87302038-04C4-4C0A-AA96-95D1F8C7BD1A}"/>
    <cellStyle name="Normal 13 4" xfId="345" xr:uid="{43975D16-BEE2-4055-B66E-7990168A64C3}"/>
    <cellStyle name="Normal 13_Compo-Civil" xfId="346" xr:uid="{6ADF11F7-F4ED-49B7-9CB5-D80F525BE826}"/>
    <cellStyle name="Normal 14" xfId="347" xr:uid="{48EE8F87-A4A4-4B2E-9DC6-073E330B5007}"/>
    <cellStyle name="Normal 14 2" xfId="348" xr:uid="{F3DFF133-EECC-428B-A6A1-A431182799B5}"/>
    <cellStyle name="Normal 14_Compo-Civil" xfId="349" xr:uid="{48D1CF21-09F8-4CCA-888A-70DDEFA0C35E}"/>
    <cellStyle name="Normal 15" xfId="350" xr:uid="{807682E2-A3AC-4386-AE81-60C3D31AB2C0}"/>
    <cellStyle name="Normal 15 2" xfId="351" xr:uid="{EAAC1115-6206-459D-8B71-87002973CE2F}"/>
    <cellStyle name="Normal 15 2 2" xfId="352" xr:uid="{8FA582C7-6754-4432-8351-FC0BD7334C91}"/>
    <cellStyle name="Normal 15 2 3" xfId="353" xr:uid="{A9B7E263-E167-4C59-BC6D-08F39F0FE869}"/>
    <cellStyle name="Normal 15 2_Compo-Civil" xfId="354" xr:uid="{54AEB052-DBA3-450D-8EF3-56696F9EC5CD}"/>
    <cellStyle name="Normal 15 3" xfId="355" xr:uid="{01436B93-9D3E-4155-A5E4-283EB03820AA}"/>
    <cellStyle name="Normal 15 4" xfId="356" xr:uid="{5F20E234-0E6B-4B30-A4F6-71577E03C829}"/>
    <cellStyle name="Normal 15_Compo-Civil" xfId="357" xr:uid="{FA22BBFD-BDB0-4B76-8224-127CA12587A3}"/>
    <cellStyle name="Normal 16" xfId="358" xr:uid="{39A2FB2A-4A43-407A-93ED-EECA7A8D5AD9}"/>
    <cellStyle name="Normal 16 2" xfId="359" xr:uid="{1FE981DF-6B39-4961-BF56-ECFD5288F51F}"/>
    <cellStyle name="Normal 16 2 2" xfId="360" xr:uid="{B07C30B8-1E75-4B56-981C-351E013D6698}"/>
    <cellStyle name="Normal 16 2 3" xfId="361" xr:uid="{BD57C758-31F0-4EC1-B916-355C55D14E10}"/>
    <cellStyle name="Normal 16 2_Compo-Civil" xfId="362" xr:uid="{0CC563C5-E17B-4A63-A471-E6A22D38CA9F}"/>
    <cellStyle name="Normal 16 3" xfId="363" xr:uid="{8521A358-6D0C-4437-ADBB-8F82C7A03120}"/>
    <cellStyle name="Normal 16 4" xfId="364" xr:uid="{F4CC8800-CE1C-4ABD-91D1-29A492C5B571}"/>
    <cellStyle name="Normal 16_Compo-Civil" xfId="365" xr:uid="{13133AB0-B8E3-433C-873D-E86B03D6D4B7}"/>
    <cellStyle name="Normal 17" xfId="366" xr:uid="{E5ECF1C9-DDAA-4382-BE56-42FB9A98BD4F}"/>
    <cellStyle name="Normal 17 2" xfId="367" xr:uid="{FE3BF430-FFC1-4E81-A909-0CAAE03E6348}"/>
    <cellStyle name="Normal 17_Compo-Civil" xfId="368" xr:uid="{41364B69-C6F9-471F-ADD6-6E7EDFB453DC}"/>
    <cellStyle name="Normal 18" xfId="369" xr:uid="{2FBFF4DE-2B70-49D4-9207-33E16258466A}"/>
    <cellStyle name="Normal 18 2" xfId="370" xr:uid="{5ED78291-360C-478B-96F2-FF587F2FEA66}"/>
    <cellStyle name="Normal 18_Compo-Civil" xfId="371" xr:uid="{D7B63288-B9F0-4D7F-93CA-C3D50CBB7573}"/>
    <cellStyle name="Normal 19" xfId="372" xr:uid="{554132BE-5857-4B4A-BC1F-D9B232809406}"/>
    <cellStyle name="Normal 19 2" xfId="373" xr:uid="{A372FDBC-17E3-4FFB-BD21-5A7273F83BCD}"/>
    <cellStyle name="Normal 19_Compo-Civil" xfId="374" xr:uid="{C4796404-06FB-4BF9-9697-14EB3798C2D7}"/>
    <cellStyle name="Normal 2" xfId="6" xr:uid="{81B92048-51A6-4519-9025-BD0931D5C375}"/>
    <cellStyle name="Normal 2 2" xfId="376" xr:uid="{D8896286-0F39-4ACB-8B75-9DB28730F3C3}"/>
    <cellStyle name="Normal 2 2 2" xfId="377" xr:uid="{98B94728-C438-4624-9647-AFA07152AC17}"/>
    <cellStyle name="Normal 2 2 2 2" xfId="378" xr:uid="{8D3E1EE0-F0CE-468D-8131-BAC9AED90756}"/>
    <cellStyle name="Normal 2 2 2_ORÇAMENTO - FORUM DE V. GRANDE" xfId="379" xr:uid="{91D19164-6E06-4EE1-BEFE-51C83F73E35D}"/>
    <cellStyle name="Normal 2 2_Compo-Civil" xfId="380" xr:uid="{F7CEB9B7-ADB8-441F-9769-4E5D5F1C9D17}"/>
    <cellStyle name="Normal 2 3" xfId="381" xr:uid="{5602FED6-E8EE-4946-8808-E3CDBACA379B}"/>
    <cellStyle name="Normal 2 4" xfId="382" xr:uid="{9B36DD24-A648-43B0-92B8-6F95A7CBC4D8}"/>
    <cellStyle name="Normal 2 5" xfId="383" xr:uid="{3BCBDE14-4395-44D2-B2C8-FE4DAFF7BEB8}"/>
    <cellStyle name="Normal 2 6" xfId="384" xr:uid="{14F961A2-2B61-476E-BB28-BD42484CE08E}"/>
    <cellStyle name="Normal 2 7" xfId="385" xr:uid="{3B0FAFF4-B1E4-43B2-844A-8BD2C7752DCF}"/>
    <cellStyle name="Normal 2 8" xfId="386" xr:uid="{A410073E-FE35-41FB-841C-65672C6D20EA}"/>
    <cellStyle name="Normal 2 9" xfId="375" xr:uid="{6620B873-BC68-4435-9BBD-FE01856FDF76}"/>
    <cellStyle name="Normal 20" xfId="387" xr:uid="{97FE4088-8297-44D1-8E82-F98ED431B5E7}"/>
    <cellStyle name="Normal 20 2" xfId="388" xr:uid="{74C1937F-3E8B-43DC-AC53-1DA53CC5ADCE}"/>
    <cellStyle name="Normal 20_Compo-Civil" xfId="389" xr:uid="{86088804-58A1-4AAC-A83F-8051425C8904}"/>
    <cellStyle name="Normal 21" xfId="390" xr:uid="{47495825-F68C-4F0D-9018-BE17D17454B7}"/>
    <cellStyle name="Normal 21 2" xfId="391" xr:uid="{1D2430E0-06F6-4FA6-BC9F-082940F76766}"/>
    <cellStyle name="Normal 21 3" xfId="392" xr:uid="{7A5AD7D7-0F77-44E4-AD10-BA2281C7B764}"/>
    <cellStyle name="Normal 21 4" xfId="393" xr:uid="{272934B0-814E-4A50-BE16-872D5370606E}"/>
    <cellStyle name="Normal 21_Compo-Civil" xfId="394" xr:uid="{48B638AE-A06C-4A16-9BE8-2EE8674BEC3E}"/>
    <cellStyle name="Normal 22" xfId="395" xr:uid="{DE658D9A-D8CF-4C08-9959-327CF0CC8AFF}"/>
    <cellStyle name="Normal 22 2" xfId="396" xr:uid="{9D964372-B924-454A-AC6A-0D059BF5FEA5}"/>
    <cellStyle name="Normal 22_Compo-Civil" xfId="397" xr:uid="{21B0D292-0970-4455-BD8A-0B99AF9E63D3}"/>
    <cellStyle name="Normal 23" xfId="398" xr:uid="{BB4A73CB-ACC7-4C82-87B8-6AE0F0D752C6}"/>
    <cellStyle name="Normal 23 2" xfId="399" xr:uid="{308F3855-D5B8-478D-A141-96EFD561C863}"/>
    <cellStyle name="Normal 23_Compo-Civil" xfId="400" xr:uid="{62F10E53-E0EB-40A2-93E6-AF3E715F3243}"/>
    <cellStyle name="Normal 24" xfId="401" xr:uid="{D46950A3-E0B4-4332-BECD-14BAA08E1F44}"/>
    <cellStyle name="Normal 24 2" xfId="402" xr:uid="{A82794C2-1733-4E25-94C5-022E7417A3F1}"/>
    <cellStyle name="Normal 24_Compo-Civil" xfId="403" xr:uid="{5493FB7B-D596-4568-B6D8-E8C92E72F1C8}"/>
    <cellStyle name="Normal 25" xfId="404" xr:uid="{ACFBCCD2-FD45-4045-B054-CBE671137E6F}"/>
    <cellStyle name="Normal 25 2" xfId="405" xr:uid="{A391E110-B188-4B99-A275-FEE44003DAD9}"/>
    <cellStyle name="Normal 25_Compo-Civil" xfId="406" xr:uid="{432449DF-D76B-4432-875E-5909C95AFB5E}"/>
    <cellStyle name="Normal 26" xfId="407" xr:uid="{8E1FFC99-932A-4818-B2E7-5CEA06440053}"/>
    <cellStyle name="Normal 26 2" xfId="408" xr:uid="{F51C058A-DA2B-407D-8EEB-522C78DC6F55}"/>
    <cellStyle name="Normal 26_Compo-Civil" xfId="409" xr:uid="{287F28C6-CB8D-4A6D-879F-EC073B7844DF}"/>
    <cellStyle name="Normal 27" xfId="410" xr:uid="{502A188E-4899-48A1-9D0A-EED1217E7388}"/>
    <cellStyle name="Normal 27 2" xfId="411" xr:uid="{5FED0D47-938A-4E2D-8EBD-72DAFC5A76A8}"/>
    <cellStyle name="Normal 27_Compo-Civil" xfId="412" xr:uid="{48131093-B4BF-4108-9741-9E2A693F707F}"/>
    <cellStyle name="Normal 28" xfId="413" xr:uid="{8112945F-B0A1-4ED1-A728-A193CD6F5BBE}"/>
    <cellStyle name="Normal 28 2" xfId="414" xr:uid="{DC275172-5F98-4F07-99F7-C2AD7398B4C2}"/>
    <cellStyle name="Normal 28_Compo-Civil" xfId="415" xr:uid="{2FAC805F-E533-43FE-AE77-28E82286B790}"/>
    <cellStyle name="Normal 29" xfId="416" xr:uid="{3CC60B07-A98A-49BC-A0DC-C54F61D24712}"/>
    <cellStyle name="Normal 3" xfId="9" xr:uid="{00000000-0005-0000-0000-000035000000}"/>
    <cellStyle name="Normal 3 2" xfId="14" xr:uid="{FD6EFA2A-0353-4144-91EE-3C2576850BD7}"/>
    <cellStyle name="Normal 3 3" xfId="417" xr:uid="{E31E9CBE-C7BF-4BE3-B670-EB0F92B5ADE1}"/>
    <cellStyle name="Normal 3 4" xfId="418" xr:uid="{752F73F0-72E7-478A-900A-30BD1E176FFD}"/>
    <cellStyle name="Normal 30" xfId="419" xr:uid="{1E2C1720-EBDD-4AF8-9F21-E80F02EEF8E8}"/>
    <cellStyle name="Normal 31" xfId="420" xr:uid="{5F2C41AD-ABE4-4B96-B6DF-F065A0167FFC}"/>
    <cellStyle name="Normal 32" xfId="421" xr:uid="{2B4A5394-18A4-4DFF-924D-4AC825DBA47C}"/>
    <cellStyle name="Normal 33" xfId="422" xr:uid="{C56220BD-7603-4E07-BF5F-5727DB64FFD0}"/>
    <cellStyle name="Normal 34" xfId="423" xr:uid="{E67C3361-EAC8-44A3-9EF8-30512A88D461}"/>
    <cellStyle name="Normal 35" xfId="424" xr:uid="{3E12CB41-7858-4C0B-8ECD-8399617D43B9}"/>
    <cellStyle name="Normal 36" xfId="425" xr:uid="{B400904B-955A-440B-970D-F3BD604B81D5}"/>
    <cellStyle name="Normal 37" xfId="426" xr:uid="{743BE07A-C713-4370-AE6F-A3EEF13051B1}"/>
    <cellStyle name="Normal 38" xfId="427" xr:uid="{63F24A8D-8B13-4EBB-8384-3BDC078BB3E4}"/>
    <cellStyle name="Normal 39" xfId="428" xr:uid="{308DDC6F-22FE-486D-B440-F611B31D3C33}"/>
    <cellStyle name="Normal 4" xfId="13" xr:uid="{00000000-0005-0000-0000-000039000000}"/>
    <cellStyle name="Normal 4 10" xfId="429" xr:uid="{892957A5-E59C-412A-8188-09AC47D4A816}"/>
    <cellStyle name="Normal 4 2" xfId="3" xr:uid="{A1DD0BF7-A567-40DA-B0E0-06E29F5DF8F3}"/>
    <cellStyle name="Normal 4 2 2" xfId="430" xr:uid="{E9AF3042-5352-4CC5-B345-523B1010557C}"/>
    <cellStyle name="Normal 4 2 3" xfId="431" xr:uid="{79DB31F5-BA0E-4096-AF66-8E4ACE8665C1}"/>
    <cellStyle name="Normal 4 2_Compo-Civil" xfId="432" xr:uid="{991D5FB9-E206-42CF-A965-6CCBE10C4D9B}"/>
    <cellStyle name="Normal 4 3" xfId="433" xr:uid="{DF51F409-C567-41FE-87C8-9AADDA41362A}"/>
    <cellStyle name="Normal 4 4" xfId="434" xr:uid="{18E8E021-F6BE-49F9-9796-A106F2944C0B}"/>
    <cellStyle name="Normal 4 5" xfId="435" xr:uid="{5D04FF16-9520-42B5-95CE-143B723697C3}"/>
    <cellStyle name="Normal 4 6" xfId="436" xr:uid="{5022D15C-D1C2-4DBF-B843-C2D32796497C}"/>
    <cellStyle name="Normal 4 7" xfId="437" xr:uid="{9CEE81AF-D453-43BD-B36F-8CA74E184FED}"/>
    <cellStyle name="Normal 4 8" xfId="438" xr:uid="{295914A6-23D0-4817-936C-45EE14E1A740}"/>
    <cellStyle name="Normal 4 9" xfId="439" xr:uid="{C7564ACC-23F0-4D62-A539-5A467C4A2DB6}"/>
    <cellStyle name="Normal 4_ORÇAMENTO" xfId="440" xr:uid="{37A689A6-EC1E-426B-B1EB-C02D6957BE12}"/>
    <cellStyle name="Normal 40" xfId="441" xr:uid="{6AF74411-16B6-4FF6-8A89-DD9F78D8F711}"/>
    <cellStyle name="Normal 41" xfId="442" xr:uid="{30B56CC8-3D6E-4852-9EB6-29242856FC40}"/>
    <cellStyle name="Normal 42" xfId="443" xr:uid="{4D6A14EE-A316-4B24-864F-B88CCBEFCEDE}"/>
    <cellStyle name="Normal 43" xfId="444" xr:uid="{BC91A5B7-AFD0-43E6-99C4-AD459DBDA461}"/>
    <cellStyle name="Normal 44" xfId="445" xr:uid="{3A484973-3F5A-4352-A0F8-A0500749E96D}"/>
    <cellStyle name="Normal 45" xfId="446" xr:uid="{629F1EEE-1813-4B40-9BAF-9A9E98B5C409}"/>
    <cellStyle name="Normal 46" xfId="447" xr:uid="{ECEC8FFB-C354-4717-83B7-CC6374935197}"/>
    <cellStyle name="Normal 47" xfId="448" xr:uid="{2CB94938-8E2F-45ED-955F-2D31CDC8D421}"/>
    <cellStyle name="Normal 48" xfId="449" xr:uid="{A3EE0FE2-F1F6-42ED-967E-51F373E8B34F}"/>
    <cellStyle name="Normal 49" xfId="450" xr:uid="{207C3151-E2D3-4A6D-BF4A-ADB965D661D2}"/>
    <cellStyle name="Normal 5" xfId="16" xr:uid="{3E1274B0-D32E-4C0B-BF92-B3BC789D589B}"/>
    <cellStyle name="Normal 5 2" xfId="452" xr:uid="{EF4188D2-59BB-4A44-805B-D09054FC2ED4}"/>
    <cellStyle name="Normal 5 3" xfId="453" xr:uid="{03FB6AC0-FC48-4DDE-898F-C2B4505D0655}"/>
    <cellStyle name="Normal 5 4" xfId="454" xr:uid="{06999453-1979-4439-AAFA-5252720EA762}"/>
    <cellStyle name="Normal 5 5" xfId="451" xr:uid="{F9AA9378-F8A9-4B24-A5A5-F704E9D921D1}"/>
    <cellStyle name="Normal 5_Compo-Civil" xfId="455" xr:uid="{E87E4429-F254-4488-BBDA-4F26B6757372}"/>
    <cellStyle name="Normal 50" xfId="456" xr:uid="{4E45FBA2-3CD9-4189-BFE7-60C4883503C6}"/>
    <cellStyle name="Normal 51" xfId="457" xr:uid="{4C190A4F-0EEF-4457-8E58-573B09E883D1}"/>
    <cellStyle name="Normal 52" xfId="458" xr:uid="{F83A46EE-4F97-45B3-97BF-7B5E640DA7AF}"/>
    <cellStyle name="Normal 53" xfId="459" xr:uid="{FC2E339B-E4D6-4EB0-A52B-02D8EE7AA443}"/>
    <cellStyle name="Normal 54" xfId="460" xr:uid="{A1AA498C-99B7-4EA4-BD3D-06AA54770A64}"/>
    <cellStyle name="Normal 55" xfId="461" xr:uid="{9EAA68E9-977B-4B58-B47B-A58F1A2CF69F}"/>
    <cellStyle name="Normal 56" xfId="462" xr:uid="{00F47054-89CF-41CC-B1B1-5218CD562FA9}"/>
    <cellStyle name="Normal 57" xfId="463" xr:uid="{B2F08D86-0879-4877-9FE9-38D962CADDC7}"/>
    <cellStyle name="Normal 58" xfId="464" xr:uid="{C4E801AD-3ADC-451C-97FC-F787615E0607}"/>
    <cellStyle name="Normal 59" xfId="465" xr:uid="{C70EE7AD-410F-4505-BD71-BCFDE73CA935}"/>
    <cellStyle name="Normal 6" xfId="466" xr:uid="{7769B4A3-2802-45E3-8CEE-64B55183AF4D}"/>
    <cellStyle name="Normal 6 2" xfId="467" xr:uid="{57D72011-C9F5-461B-B165-D49C016AAAAA}"/>
    <cellStyle name="Normal 6_Compo-Civil" xfId="468" xr:uid="{E3A1BC22-C5BB-4FFA-9B4B-2E62FF13757B}"/>
    <cellStyle name="Normal 60" xfId="469" xr:uid="{08AB3A03-4ACD-458C-9BE6-1259FFDE705A}"/>
    <cellStyle name="Normal 61" xfId="470" xr:uid="{0FEE6040-845A-45F5-A848-FF8CFD8EC0C4}"/>
    <cellStyle name="Normal 62" xfId="471" xr:uid="{F1C9BAE9-3B36-4912-BC5E-CEE1904EB562}"/>
    <cellStyle name="Normal 63" xfId="472" xr:uid="{E3679BFC-5764-438E-B665-CAFC8766C07D}"/>
    <cellStyle name="Normal 64" xfId="473" xr:uid="{27799480-085B-4C71-BA1E-6823FC7E1F21}"/>
    <cellStyle name="Normal 65" xfId="474" xr:uid="{E4FC09BD-B28B-4CDA-8FBC-791927BA640A}"/>
    <cellStyle name="Normal 66" xfId="475" xr:uid="{2F9AA244-14D9-4EE7-A1B7-35CBE97CB3AA}"/>
    <cellStyle name="Normal 67" xfId="476" xr:uid="{C7C88BAF-7D7B-48AA-9A93-26ED40EAD853}"/>
    <cellStyle name="Normal 68" xfId="477" xr:uid="{DE130ABF-B57D-48BB-9CE1-509F91A1CE08}"/>
    <cellStyle name="Normal 69" xfId="478" xr:uid="{33AB7DC1-FEF2-45D4-B982-B702617BB494}"/>
    <cellStyle name="Normal 7" xfId="479" xr:uid="{9514E4D0-FE1D-4E3B-AF6F-B45F41A81EFE}"/>
    <cellStyle name="Normal 7 2" xfId="480" xr:uid="{AB584745-6D5B-4362-A2EA-8DE7832A7F25}"/>
    <cellStyle name="Normal 7_Compo-Civil" xfId="481" xr:uid="{F2BAFA37-35D8-49AA-8344-E4680CF4F9BD}"/>
    <cellStyle name="Normal 70" xfId="482" xr:uid="{1C575ACA-83EF-4130-B9E1-318069B992D3}"/>
    <cellStyle name="Normal 71" xfId="483" xr:uid="{6AFF68C7-F5D1-4965-9701-8E011EE3BD58}"/>
    <cellStyle name="Normal 72" xfId="484" xr:uid="{9768C464-4CF5-4D2A-891B-8A937223E624}"/>
    <cellStyle name="Normal 73" xfId="485" xr:uid="{8C0011E0-91BA-4A12-AB2F-093E0374CA41}"/>
    <cellStyle name="Normal 74" xfId="486" xr:uid="{7B7DD4DE-36BF-48C3-9774-FC5E8D26E0EE}"/>
    <cellStyle name="Normal 75" xfId="487" xr:uid="{9C920AA9-2015-4D96-A56C-C7F9CEE2C6D6}"/>
    <cellStyle name="Normal 76" xfId="488" xr:uid="{1D48FF08-ABDA-4015-BA82-3F68120D1A28}"/>
    <cellStyle name="Normal 77" xfId="489" xr:uid="{376F8F50-63C2-4D01-A737-E6CFC03615B1}"/>
    <cellStyle name="Normal 78" xfId="490" xr:uid="{E9A04B1F-14B7-443F-9E38-5FB7E96218AB}"/>
    <cellStyle name="Normal 79" xfId="491" xr:uid="{D64E4882-BC96-4B70-B3FD-1D5DC9D353E8}"/>
    <cellStyle name="Normal 8" xfId="492" xr:uid="{80DB14E7-2CB9-4D2D-B4A9-499C27B8D389}"/>
    <cellStyle name="Normal 8 2" xfId="493" xr:uid="{458774A6-240B-46E4-9084-F8E687C9DB4F}"/>
    <cellStyle name="Normal 8 3" xfId="494" xr:uid="{38747E6A-97FC-4385-8011-1FFFD52F8830}"/>
    <cellStyle name="Normal 8 4" xfId="495" xr:uid="{D9A5DC77-37AF-4255-B372-27B477883D72}"/>
    <cellStyle name="Normal 8_Compo-Civil" xfId="496" xr:uid="{1A1FD4CA-633C-4265-82AD-4DA50D23AD07}"/>
    <cellStyle name="Normal 80" xfId="497" xr:uid="{9B985850-365E-4AC8-BDC9-0F7A504B82A7}"/>
    <cellStyle name="Normal 81" xfId="498" xr:uid="{03BEB987-C16D-472A-872F-801B6A1F8F1D}"/>
    <cellStyle name="Normal 82" xfId="499" xr:uid="{DBA4BA47-0A59-486C-9E33-CFA5F7E728D3}"/>
    <cellStyle name="Normal 83" xfId="500" xr:uid="{86FE2915-E1C3-4BEE-8DD1-249F7B0EBB77}"/>
    <cellStyle name="Normal 84" xfId="501" xr:uid="{B2F5D0BE-D89D-405A-927D-2B275F58BE09}"/>
    <cellStyle name="Normal 85" xfId="502" xr:uid="{73DBB8CD-7FD4-477D-9218-F64726CE46C2}"/>
    <cellStyle name="Normal 86" xfId="503" xr:uid="{49B30F75-C20D-41C1-BAF0-C7B439C89550}"/>
    <cellStyle name="Normal 87" xfId="504" xr:uid="{402B7E6C-4F3F-48FD-B0BD-9277732F3DB4}"/>
    <cellStyle name="Normal 88" xfId="505" xr:uid="{CB31788A-31E3-4BA6-83B4-9BE655110AAD}"/>
    <cellStyle name="Normal 89" xfId="506" xr:uid="{C4D26823-1896-408B-9E45-13D686471E15}"/>
    <cellStyle name="Normal 9" xfId="507" xr:uid="{7C278AC2-CD96-49E1-83A1-B1C543C4F780}"/>
    <cellStyle name="Normal 9 2" xfId="508" xr:uid="{98A9DF12-462A-48CE-9300-2D089155902E}"/>
    <cellStyle name="Normal 9_Compo-Civil" xfId="509" xr:uid="{EBAB79BB-E844-4AA9-8EE5-FEFB98F9985E}"/>
    <cellStyle name="Normal 90" xfId="510" xr:uid="{B8563970-C45C-48CC-95CF-6DDCED499D13}"/>
    <cellStyle name="Normal 91" xfId="511" xr:uid="{9558B448-9910-4941-A016-9F6F4BA10ED0}"/>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Nota 10" xfId="512" xr:uid="{82CE65D6-277D-4721-8708-6446F77F935B}"/>
    <cellStyle name="Nota 10 2" xfId="513" xr:uid="{C2F3EC5D-BEDA-4226-92BE-96A827B4EBFC}"/>
    <cellStyle name="Nota 11" xfId="514" xr:uid="{E25DA778-CA7B-4F4B-8728-BE9764BE96AB}"/>
    <cellStyle name="Nota 11 2" xfId="515" xr:uid="{94C76F4B-0FFC-40CC-9EF8-D9F0349629A0}"/>
    <cellStyle name="Nota 12" xfId="516" xr:uid="{7A19C63A-E84F-4BFE-8E60-7168103D8A87}"/>
    <cellStyle name="Nota 12 2" xfId="517" xr:uid="{262057B5-0B48-44A9-A175-0326AEC0E2FA}"/>
    <cellStyle name="Nota 13" xfId="518" xr:uid="{09B16496-9B0E-40EF-B0CF-A7F7EE5EC44C}"/>
    <cellStyle name="Nota 13 2" xfId="519" xr:uid="{5CBBACF0-8CFE-4A08-A6F5-112A09E1F4BB}"/>
    <cellStyle name="Nota 14" xfId="520" xr:uid="{39FCE0A3-97DB-4041-859B-304B1DDAEBA5}"/>
    <cellStyle name="Nota 14 2" xfId="521" xr:uid="{01B83F9F-B298-4704-A1E0-82DFD9131296}"/>
    <cellStyle name="Nota 15" xfId="522" xr:uid="{48E3EB4C-256B-45F2-8888-09FC452985EB}"/>
    <cellStyle name="Nota 15 2" xfId="523" xr:uid="{C83CF3AA-D87D-499C-A1B8-ED16B960E469}"/>
    <cellStyle name="Nota 16" xfId="524" xr:uid="{8BEB5E91-617C-4357-9BFC-E3105BEA2A93}"/>
    <cellStyle name="Nota 16 2" xfId="525" xr:uid="{B1E4AB5A-36E6-462C-82A4-303ABED58A45}"/>
    <cellStyle name="Nota 17" xfId="526" xr:uid="{8CE3E244-30A4-4B77-88C3-D02EF5E6E67D}"/>
    <cellStyle name="Nota 17 2" xfId="527" xr:uid="{85B778FE-A868-492E-995A-E0B0658D2F1E}"/>
    <cellStyle name="Nota 18" xfId="528" xr:uid="{BDF0CE3F-419E-475B-A8A2-7CBD547D0A1E}"/>
    <cellStyle name="Nota 18 2" xfId="529" xr:uid="{F0E60671-6788-4DF3-89DA-04150436BC73}"/>
    <cellStyle name="Nota 19" xfId="530" xr:uid="{4823D09B-7CC2-4FF0-85DC-6F4A3B128167}"/>
    <cellStyle name="Nota 19 2" xfId="531" xr:uid="{934E9F96-BF10-46FE-A1FA-F5F410A360A9}"/>
    <cellStyle name="Nota 2" xfId="532" xr:uid="{9DB0E373-2E9A-403D-8F6C-8260500D7D49}"/>
    <cellStyle name="Nota 2 2" xfId="533" xr:uid="{7CA0B5F9-B749-4388-B68C-58658DA8FCD4}"/>
    <cellStyle name="Nota 2 3" xfId="534" xr:uid="{3906F262-5B3D-483F-9665-248FA620F39E}"/>
    <cellStyle name="Nota 2 4" xfId="535" xr:uid="{DB9D7DA8-2608-4DDD-884E-E712CDD1B6A8}"/>
    <cellStyle name="Nota 2_CIVIL- BL 1-2-3-4-5-6-7-8 " xfId="536" xr:uid="{A5CD9733-0DFA-4852-89E5-8400CC9D5A10}"/>
    <cellStyle name="Nota 20" xfId="537" xr:uid="{AD5DD69E-AFF9-4135-8922-DED1EAC40F72}"/>
    <cellStyle name="Nota 20 2" xfId="538" xr:uid="{DFF76417-62A1-4BED-B831-B256034A141B}"/>
    <cellStyle name="Nota 21" xfId="539" xr:uid="{017B0CE5-B4C3-4367-BE9E-D16D361AF18A}"/>
    <cellStyle name="Nota 21 2" xfId="540" xr:uid="{A94B312F-F15B-4B73-8EA3-0763E6D0E3DA}"/>
    <cellStyle name="Nota 22" xfId="541" xr:uid="{A184BEBD-827A-4249-8D2F-B82EFAFA9C98}"/>
    <cellStyle name="Nota 22 2" xfId="542" xr:uid="{D70AE43D-FFF1-4C37-A367-2D1545A9E5EF}"/>
    <cellStyle name="Nota 23" xfId="543" xr:uid="{54433DAB-2507-4F63-8871-B02465F8D07C}"/>
    <cellStyle name="Nota 23 2" xfId="544" xr:uid="{44BFE478-72B1-4DFB-8DFC-E01544A3C3B6}"/>
    <cellStyle name="Nota 24" xfId="545" xr:uid="{C105FB94-736D-471D-AB55-E80A07DA933A}"/>
    <cellStyle name="Nota 24 2" xfId="546" xr:uid="{FC34637C-AB9E-4345-97C5-1D4D1FEB6670}"/>
    <cellStyle name="Nota 25" xfId="547" xr:uid="{5A32CEA1-304C-40A2-AE1B-A1E518EDF02F}"/>
    <cellStyle name="Nota 25 2" xfId="548" xr:uid="{C2B138D2-A4AC-47AA-BC46-BFDCE9BF8DDA}"/>
    <cellStyle name="Nota 26" xfId="549" xr:uid="{86EB3AEB-B3CF-47CB-9332-A5DF904F9230}"/>
    <cellStyle name="Nota 26 2" xfId="550" xr:uid="{B613EC53-1F26-465F-A286-A353E3143C09}"/>
    <cellStyle name="Nota 27" xfId="551" xr:uid="{17591FF5-8E81-495B-9DEC-A9F1DFEDFF67}"/>
    <cellStyle name="Nota 27 2" xfId="552" xr:uid="{2D377607-E49F-4E10-8077-8EDE7A0BAE4A}"/>
    <cellStyle name="Nota 28" xfId="553" xr:uid="{9A0E7581-2D26-4C02-8D0A-E9C32432A4EC}"/>
    <cellStyle name="Nota 28 2" xfId="554" xr:uid="{603812D5-9B7B-4A65-83F0-58B32C45F202}"/>
    <cellStyle name="Nota 29" xfId="555" xr:uid="{13119093-3EC0-47D5-859E-A93F67176BDF}"/>
    <cellStyle name="Nota 29 2" xfId="556" xr:uid="{83224607-306C-4D27-933E-9B5EEB6EFA93}"/>
    <cellStyle name="Nota 3" xfId="557" xr:uid="{38CD16A6-5B1A-415F-A277-0BB6CA595B03}"/>
    <cellStyle name="Nota 3 2" xfId="558" xr:uid="{370BCE60-CA9C-42B3-BB08-C87622A6D0D9}"/>
    <cellStyle name="Nota 30" xfId="559" xr:uid="{38C3D6BF-68C8-4BF5-8ECA-E10AE7FAE776}"/>
    <cellStyle name="Nota 30 2" xfId="560" xr:uid="{0786EDC8-C1EB-429A-912C-BAFD4BD4F179}"/>
    <cellStyle name="Nota 31" xfId="561" xr:uid="{C4B72108-7BA7-416F-BDD3-6044BB81A35A}"/>
    <cellStyle name="Nota 31 2" xfId="562" xr:uid="{3AEBDEE0-2D31-4D65-A1A4-806D49A28900}"/>
    <cellStyle name="Nota 32" xfId="563" xr:uid="{8B42980F-F869-49DC-9AFB-94A5298E8D59}"/>
    <cellStyle name="Nota 32 2" xfId="564" xr:uid="{09ED9246-6DB9-430A-AB22-A70DD243EF73}"/>
    <cellStyle name="Nota 33" xfId="565" xr:uid="{0064EB5C-3AE0-4750-970F-201DACA38E88}"/>
    <cellStyle name="Nota 33 2" xfId="566" xr:uid="{7C5C2742-2075-44EA-919A-13124C64F154}"/>
    <cellStyle name="Nota 34" xfId="567" xr:uid="{3E9B6B61-284D-44C2-85C5-51538E4ADC48}"/>
    <cellStyle name="Nota 34 2" xfId="568" xr:uid="{6B8996B3-C1A8-4554-B9E2-24162DA111FF}"/>
    <cellStyle name="Nota 35" xfId="569" xr:uid="{5C4265A5-97CF-44D4-823D-C8F4738067A6}"/>
    <cellStyle name="Nota 35 2" xfId="570" xr:uid="{8B981D24-7DC3-4C22-8972-AB019746E414}"/>
    <cellStyle name="Nota 36" xfId="571" xr:uid="{50201698-4050-4A57-8112-C51DF5B5B462}"/>
    <cellStyle name="Nota 36 2" xfId="572" xr:uid="{F2EAEEDB-03B7-4A5D-8DD3-A6F95DF755D7}"/>
    <cellStyle name="Nota 37" xfId="573" xr:uid="{3E5B87FD-929C-4642-8D92-0010DC592DB7}"/>
    <cellStyle name="Nota 37 2" xfId="574" xr:uid="{E8F7F161-20DB-4FE4-9AE6-13F32649B5D3}"/>
    <cellStyle name="Nota 38" xfId="575" xr:uid="{D2784153-E489-4DE4-9B6A-3F840D6C46E6}"/>
    <cellStyle name="Nota 39" xfId="576" xr:uid="{22784750-3393-4B4F-A1E8-EE46005A4960}"/>
    <cellStyle name="Nota 4" xfId="577" xr:uid="{0747FC30-013F-457B-8BD1-C63E69634A62}"/>
    <cellStyle name="Nota 4 2" xfId="578" xr:uid="{6ECF2B8B-C4C0-41EE-9578-59830D790A3C}"/>
    <cellStyle name="Nota 5" xfId="579" xr:uid="{5F0F2875-DDC6-4B75-BE98-0B0D1AE5A0CD}"/>
    <cellStyle name="Nota 5 2" xfId="580" xr:uid="{62DFFCD3-D832-4ACB-96B9-D724D31C4687}"/>
    <cellStyle name="Nota 6" xfId="581" xr:uid="{66BE3F38-3FAF-4B52-A85A-865184EADA34}"/>
    <cellStyle name="Nota 6 2" xfId="582" xr:uid="{7F3679B2-B75F-4535-A288-3D35DE8728D8}"/>
    <cellStyle name="Nota 7" xfId="583" xr:uid="{B9E6B781-256E-47C3-A8B8-4238F2FBA053}"/>
    <cellStyle name="Nota 7 2" xfId="584" xr:uid="{8E3DE543-F652-4D86-9DC0-8700C7256B2D}"/>
    <cellStyle name="Nota 8" xfId="585" xr:uid="{9EA679E8-1BA1-44CC-AE54-8084A57D341D}"/>
    <cellStyle name="Nota 8 2" xfId="586" xr:uid="{08A8848F-B0AB-47F6-BF06-814EA892F8A6}"/>
    <cellStyle name="Nota 9" xfId="587" xr:uid="{93625F71-2FEA-4641-ACDF-1A4D98562C31}"/>
    <cellStyle name="Nota 9 2" xfId="588" xr:uid="{4EA6B559-D5B7-4137-9327-BD67B581AD21}"/>
    <cellStyle name="Note" xfId="589" xr:uid="{7A048663-DAC5-4A69-82DA-7250645752C7}"/>
    <cellStyle name="Output" xfId="590" xr:uid="{FFC8CC28-FA58-40F3-81E7-0835AB653C41}"/>
    <cellStyle name="planilhas" xfId="591" xr:uid="{3CA37163-B444-463A-BB95-51196589CC50}"/>
    <cellStyle name="Porcentagem" xfId="2" builtinId="5"/>
    <cellStyle name="Porcentagem 10" xfId="592" xr:uid="{3BA5C2EC-AF1A-4B5D-861B-C9D505DEACE1}"/>
    <cellStyle name="Porcentagem 10 2" xfId="593" xr:uid="{A53D2F0B-F813-4FAD-95EC-AACEF425FE4C}"/>
    <cellStyle name="Porcentagem 11" xfId="594" xr:uid="{C721EDE9-B55C-4328-B657-8D896916AAE6}"/>
    <cellStyle name="Porcentagem 12" xfId="595" xr:uid="{655D9F72-3242-4868-9809-8655D270F05F}"/>
    <cellStyle name="Porcentagem 13" xfId="596" xr:uid="{17FD169F-1BF9-4F71-878B-946DBAABEE48}"/>
    <cellStyle name="Porcentagem 14" xfId="597" xr:uid="{E3056971-B183-43EC-A01B-C32C6BD94E2F}"/>
    <cellStyle name="Porcentagem 15" xfId="598" xr:uid="{E36D83F0-D459-4C8C-9450-B2B028DF9BFC}"/>
    <cellStyle name="Porcentagem 16" xfId="599" xr:uid="{F122694B-FB5A-4F1E-856B-8D98F0A30C45}"/>
    <cellStyle name="Porcentagem 17" xfId="600" xr:uid="{B88A365C-FCEE-426C-94DB-9675AB069D8C}"/>
    <cellStyle name="Porcentagem 18" xfId="601" xr:uid="{C1CB2845-D273-4AD5-AB4B-942AAB57C2F0}"/>
    <cellStyle name="Porcentagem 19" xfId="602" xr:uid="{51967D3A-4C71-43FB-A858-2E32E5B78EED}"/>
    <cellStyle name="Porcentagem 2" xfId="8" xr:uid="{139122D8-0417-463D-AF15-1202B79C1EAE}"/>
    <cellStyle name="Porcentagem 2 10" xfId="603" xr:uid="{EA3006AC-1AA2-4D24-8236-79819A074D9B}"/>
    <cellStyle name="Porcentagem 2 11" xfId="604" xr:uid="{35BA7F1B-C219-4E1F-8121-E243455176AC}"/>
    <cellStyle name="Porcentagem 2 12" xfId="605" xr:uid="{26D62A8B-6037-418D-9E57-7EE9D8844082}"/>
    <cellStyle name="Porcentagem 2 13" xfId="606" xr:uid="{387D360B-75AA-4636-A9F2-AA0421FBC465}"/>
    <cellStyle name="Porcentagem 2 14" xfId="607" xr:uid="{0ABB5B46-049B-4253-8DF8-3A3BBE7EDFBD}"/>
    <cellStyle name="Porcentagem 2 15" xfId="608" xr:uid="{1DBFEA3E-C40D-43B2-832A-084420C59E1D}"/>
    <cellStyle name="Porcentagem 2 16" xfId="609" xr:uid="{9520D60D-CED4-43E7-BF5F-ACD66E191080}"/>
    <cellStyle name="Porcentagem 2 17" xfId="610" xr:uid="{08682822-F088-481F-95A0-DD864BACCCD5}"/>
    <cellStyle name="Porcentagem 2 18" xfId="611" xr:uid="{B71B61D0-EFE0-45D3-A8F3-F3406E96880A}"/>
    <cellStyle name="Porcentagem 2 19" xfId="612" xr:uid="{366AB0A2-45CA-4AE5-A9DA-6DBE6412E127}"/>
    <cellStyle name="Porcentagem 2 2" xfId="613" xr:uid="{A565B58B-D48D-4C1F-A394-0CECEBAC1A3B}"/>
    <cellStyle name="Porcentagem 2 2 2" xfId="614" xr:uid="{DAFA6CB3-9E16-49AF-9326-0161B38F8F1F}"/>
    <cellStyle name="Porcentagem 2 2 3" xfId="615" xr:uid="{61A24AE4-7FD7-4BFA-B19F-D6799986761B}"/>
    <cellStyle name="Porcentagem 2 20" xfId="616" xr:uid="{93F58AFB-3D24-4DC4-82E3-E8A6586D0647}"/>
    <cellStyle name="Porcentagem 2 21" xfId="617" xr:uid="{2471F9F9-6601-416F-AB74-1494F3E8E840}"/>
    <cellStyle name="Porcentagem 2 22" xfId="618" xr:uid="{45D97F1D-52F5-4E65-95E6-C8ED5120B67B}"/>
    <cellStyle name="Porcentagem 2 23" xfId="619" xr:uid="{976A59A4-0B24-404D-99E1-DD28DB04AE3C}"/>
    <cellStyle name="Porcentagem 2 24" xfId="620" xr:uid="{3DC0B784-3C33-4278-BBEA-EF31BC9EBCA4}"/>
    <cellStyle name="Porcentagem 2 25" xfId="621" xr:uid="{6C22420E-0F13-4F2D-B63C-268E1CD741FB}"/>
    <cellStyle name="Porcentagem 2 26" xfId="622" xr:uid="{0F5F3374-9C9C-466F-B05F-8984DCF8CC94}"/>
    <cellStyle name="Porcentagem 2 27" xfId="623" xr:uid="{2A938D99-24EC-4D47-98C9-979B298C805B}"/>
    <cellStyle name="Porcentagem 2 28" xfId="624" xr:uid="{7661E1CC-40A2-4F3D-9321-FE914030DDC8}"/>
    <cellStyle name="Porcentagem 2 29" xfId="625" xr:uid="{CBE73038-3686-46D9-AB94-4E86D8DB8464}"/>
    <cellStyle name="Porcentagem 2 3" xfId="626" xr:uid="{0C64FB43-4267-40B0-A629-EF1996476604}"/>
    <cellStyle name="Porcentagem 2 30" xfId="627" xr:uid="{31847143-8064-48E2-97A9-96B1DACF8CA9}"/>
    <cellStyle name="Porcentagem 2 4" xfId="628" xr:uid="{463B53F0-EA24-4D0F-9BB4-B845F2E3B194}"/>
    <cellStyle name="Porcentagem 2 5" xfId="629" xr:uid="{C9C4347A-7491-4D4B-865B-1390AED046F1}"/>
    <cellStyle name="Porcentagem 2 6" xfId="630" xr:uid="{152C6100-2206-45AB-9E0D-D76B89E32400}"/>
    <cellStyle name="Porcentagem 2 7" xfId="631" xr:uid="{8828106B-08D1-4C60-BE2F-24A5C7778B24}"/>
    <cellStyle name="Porcentagem 2 8" xfId="632" xr:uid="{F2628315-82B6-4572-82F7-EDC8F487BEEE}"/>
    <cellStyle name="Porcentagem 2 9" xfId="633" xr:uid="{BA15A0A1-2510-42F8-BCAA-8B204F8AE869}"/>
    <cellStyle name="Porcentagem 20" xfId="634" xr:uid="{FB12D2DF-20AA-4D59-83EF-A9FE47DA53AC}"/>
    <cellStyle name="Porcentagem 21" xfId="635" xr:uid="{2B320271-51BE-49E3-B9BE-6EDFDD34612E}"/>
    <cellStyle name="Porcentagem 22" xfId="636" xr:uid="{871B4C69-72CA-4342-9B02-EC17D1C9988D}"/>
    <cellStyle name="Porcentagem 23" xfId="637" xr:uid="{F362D228-FA92-4497-B634-5E8F09D1D907}"/>
    <cellStyle name="Porcentagem 24" xfId="638" xr:uid="{46BDEEBB-5809-4D93-936B-068BA0652A8E}"/>
    <cellStyle name="Porcentagem 25" xfId="639" xr:uid="{8793263F-FC73-44A7-9D0E-B48B956DF2B8}"/>
    <cellStyle name="Porcentagem 26" xfId="640" xr:uid="{AC80F4A3-C1C6-4317-B983-0371F651419F}"/>
    <cellStyle name="Porcentagem 27" xfId="641" xr:uid="{06018D7D-0F17-40ED-8910-FA78D18E5598}"/>
    <cellStyle name="Porcentagem 28" xfId="642" xr:uid="{EE2D1877-7CFC-464A-8974-5D6759878739}"/>
    <cellStyle name="Porcentagem 29" xfId="643" xr:uid="{4C999632-7E71-43B0-82AC-A6EBA900F0B4}"/>
    <cellStyle name="Porcentagem 3" xfId="644" xr:uid="{A63DAD49-8149-4C76-8A79-60B3E2EE68BE}"/>
    <cellStyle name="Porcentagem 30" xfId="645" xr:uid="{13DE06DD-6EC9-45F7-BA62-4FC1BC8AAEFA}"/>
    <cellStyle name="Porcentagem 31" xfId="646" xr:uid="{E33D5C75-E755-45B3-A4AE-A48545574FEE}"/>
    <cellStyle name="Porcentagem 33" xfId="647" xr:uid="{D751A83F-E553-4BB2-A0E3-0EB4A0BB9CEC}"/>
    <cellStyle name="Porcentagem 4" xfId="648" xr:uid="{A70012AD-B183-4841-8E8C-79DC89417DE3}"/>
    <cellStyle name="Porcentagem 5" xfId="649" xr:uid="{D8BA3B99-FD4F-40B9-BFF3-F3E0331B5200}"/>
    <cellStyle name="Porcentagem 6" xfId="650" xr:uid="{68475F8D-3689-4AFB-B886-00D3D3611371}"/>
    <cellStyle name="Porcentagem 7" xfId="651" xr:uid="{508ABAA5-DB11-4709-BB13-0E05E4A9A410}"/>
    <cellStyle name="Porcentagem 8" xfId="652" xr:uid="{3E94AFCE-6ACE-4774-A9C7-DEE5D8CC7B11}"/>
    <cellStyle name="Porcentagem 9" xfId="653" xr:uid="{834C3820-39CE-40CF-84EA-9E9CBF6BD2E7}"/>
    <cellStyle name="Saída 2" xfId="654" xr:uid="{0F62E51E-2ABF-4443-BEF6-CBEFEC1B99C1}"/>
    <cellStyle name="Saída 2 2" xfId="655" xr:uid="{6AC0D252-553C-4EED-A3F9-0FAEEDF65500}"/>
    <cellStyle name="Saída 2 3" xfId="656" xr:uid="{8083A4F6-3F4C-41BD-AA07-BF9F477ADE4D}"/>
    <cellStyle name="Saída 2_CIVIL- BL 1-2-3-4-5-6-7-8 " xfId="657" xr:uid="{AA072DC4-F650-4938-AA37-C0DCACA91ACF}"/>
    <cellStyle name="Saída 3" xfId="658" xr:uid="{C082D060-FA13-400E-9ABF-9B4650ED79BF}"/>
    <cellStyle name="Saída 4" xfId="659" xr:uid="{0D02CE46-D583-4F32-BBCB-69F3B3AEDCD7}"/>
    <cellStyle name="Saída 5" xfId="660" xr:uid="{ABAC2B55-70DB-4158-82CC-91EDEED18FE0}"/>
    <cellStyle name="Saída 6" xfId="661" xr:uid="{7C43B746-7687-4056-A2E6-A80F9407DC23}"/>
    <cellStyle name="Separador de milhares 10" xfId="662" xr:uid="{730DC6FF-1CB3-4BC6-BDC0-7F76EC017249}"/>
    <cellStyle name="Separador de milhares 10 2" xfId="663" xr:uid="{EE77A4DA-E268-4821-8657-7D6E496C1BA8}"/>
    <cellStyle name="Separador de milhares 10 2 2" xfId="664" xr:uid="{651A4213-B8EA-4075-9734-701CF4BABD62}"/>
    <cellStyle name="Separador de milhares 10 2 2 2" xfId="665" xr:uid="{6F3AF67E-71BE-4C5E-812B-25C20BC4CA36}"/>
    <cellStyle name="Separador de milhares 10 2 3" xfId="666" xr:uid="{EBBB244D-A3D3-4DC8-BD90-0C78E0AFD8B0}"/>
    <cellStyle name="Separador de milhares 11" xfId="667" xr:uid="{CE20F07C-584C-4DC7-8C31-9854781E4033}"/>
    <cellStyle name="Separador de milhares 11 2" xfId="668" xr:uid="{C5710B40-F8EC-4445-9DF8-FD64ECCE25CE}"/>
    <cellStyle name="Separador de milhares 11 2 2" xfId="669" xr:uid="{333881F8-F574-451A-BF0E-553F451D479A}"/>
    <cellStyle name="Separador de milhares 11 2 2 2" xfId="670" xr:uid="{7990AC7C-F478-4739-A648-93949ED62088}"/>
    <cellStyle name="Separador de milhares 11 2 3" xfId="671" xr:uid="{24FC8492-F363-4737-A27B-997DBB4C2D7F}"/>
    <cellStyle name="Separador de milhares 12" xfId="672" xr:uid="{C659285C-0C87-4C43-93FB-997784E18B54}"/>
    <cellStyle name="Separador de milhares 12 2" xfId="673" xr:uid="{2965E79B-4E04-434E-920D-25F0C84A6AED}"/>
    <cellStyle name="Separador de milhares 12 2 2" xfId="674" xr:uid="{AF780923-BABC-4F96-B0AB-18FF0497E00F}"/>
    <cellStyle name="Separador de milhares 12 2 2 2" xfId="675" xr:uid="{B8489D85-8E85-4D3C-87C8-0CBFCE0BF6EB}"/>
    <cellStyle name="Separador de milhares 12 2 3" xfId="676" xr:uid="{B667E81A-E9A5-46D0-9F50-2B96E3A73161}"/>
    <cellStyle name="Separador de milhares 13" xfId="677" xr:uid="{BB677330-B2D1-45D9-B30F-54763DDB2C8A}"/>
    <cellStyle name="Separador de milhares 13 2" xfId="678" xr:uid="{61F311FF-A82E-4433-AC53-F8A20C35DEC0}"/>
    <cellStyle name="Separador de milhares 13 2 2" xfId="679" xr:uid="{A6717B49-F697-4271-9826-ED596B508E1A}"/>
    <cellStyle name="Separador de milhares 13 2 2 2" xfId="680" xr:uid="{E93DE859-8C1E-4B88-9ABC-946242E9E497}"/>
    <cellStyle name="Separador de milhares 13 2 3" xfId="681" xr:uid="{8E506193-41AA-4330-B64C-7F048816A50B}"/>
    <cellStyle name="Separador de milhares 14" xfId="682" xr:uid="{A6E907EA-F5E2-4132-A458-0BA73F88AE83}"/>
    <cellStyle name="Separador de milhares 14 2" xfId="683" xr:uid="{974808A0-CBD1-49DA-97A8-4BBC2212440A}"/>
    <cellStyle name="Separador de milhares 14 2 2" xfId="684" xr:uid="{A1C324E8-542D-4ABB-BC70-91522FD88CE2}"/>
    <cellStyle name="Separador de milhares 14 2 2 2" xfId="685" xr:uid="{E41D1DAD-EE08-4C3B-84BC-DA4DF5491DDA}"/>
    <cellStyle name="Separador de milhares 14 2 3" xfId="686" xr:uid="{A5823E99-6336-4730-8E76-FA843B75EAB4}"/>
    <cellStyle name="Separador de milhares 15" xfId="687" xr:uid="{C5F187B4-8FBC-4683-9097-1B035F75BA53}"/>
    <cellStyle name="Separador de milhares 15 2" xfId="688" xr:uid="{A41BF854-AE72-47E2-B16A-AB8A8A0248F9}"/>
    <cellStyle name="Separador de milhares 15 2 2" xfId="689" xr:uid="{3687E64F-9652-4F5B-9AD8-B30D036FF35C}"/>
    <cellStyle name="Separador de milhares 15 2 2 2" xfId="690" xr:uid="{3F7EBA69-7F1A-4902-8753-C200C825D9FF}"/>
    <cellStyle name="Separador de milhares 15 2 3" xfId="691" xr:uid="{94B50405-BAA0-4775-B143-680C8344B42B}"/>
    <cellStyle name="Separador de milhares 16" xfId="692" xr:uid="{4CF64626-CBD9-487F-9377-DBBCDA9335A1}"/>
    <cellStyle name="Separador de milhares 16 2" xfId="693" xr:uid="{9CBD1207-9214-4FBD-BAD8-03B38A664842}"/>
    <cellStyle name="Separador de milhares 16 2 2" xfId="694" xr:uid="{73A32CC8-D3AA-4951-851D-2A15CB6682CD}"/>
    <cellStyle name="Separador de milhares 16 2 2 2" xfId="695" xr:uid="{2779C880-2A60-440C-8125-A75DBC2581DB}"/>
    <cellStyle name="Separador de milhares 16 2 3" xfId="696" xr:uid="{E54E8D4E-F189-4288-AC97-11203140C7BB}"/>
    <cellStyle name="Separador de milhares 17" xfId="697" xr:uid="{70BFCC8F-F0E3-4A12-9F90-55D443AA977A}"/>
    <cellStyle name="Separador de milhares 17 2" xfId="698" xr:uid="{E605A667-ADDE-4227-805E-7E218074536D}"/>
    <cellStyle name="Separador de milhares 17 2 2" xfId="699" xr:uid="{21EE67F1-8493-4106-AF45-10983AB7A072}"/>
    <cellStyle name="Separador de milhares 17 2 2 2" xfId="700" xr:uid="{85F355B3-DEC4-4590-9810-81690EAED887}"/>
    <cellStyle name="Separador de milhares 17 2 3" xfId="701" xr:uid="{C43A6EB3-588D-46CB-AF08-FBEAEBFD002D}"/>
    <cellStyle name="Separador de milhares 18" xfId="702" xr:uid="{432CED47-9E2A-4257-9095-20F3EB58AB52}"/>
    <cellStyle name="Separador de milhares 18 2" xfId="703" xr:uid="{B0F2B2DB-6580-4DFE-BD23-51E04664FA38}"/>
    <cellStyle name="Separador de milhares 18 2 2" xfId="704" xr:uid="{7620DDCD-1D3C-415F-B4D6-391C649BAA7C}"/>
    <cellStyle name="Separador de milhares 18 2 2 2" xfId="705" xr:uid="{E5B9BA12-CA4C-4C1C-8B68-2C18331170C6}"/>
    <cellStyle name="Separador de milhares 18 2 3" xfId="706" xr:uid="{3AC37D6D-28C2-4B30-BC0A-D89A74C531A7}"/>
    <cellStyle name="Separador de milhares 19" xfId="707" xr:uid="{BA539526-D1F6-4080-9388-06885ED98498}"/>
    <cellStyle name="Separador de milhares 19 2" xfId="708" xr:uid="{93CF525A-64A7-4ACD-A0C1-38D7842E5693}"/>
    <cellStyle name="Separador de milhares 19 2 2" xfId="709" xr:uid="{63B9DF8B-1757-4C21-BDBD-6529D979CE1E}"/>
    <cellStyle name="Separador de milhares 19 2 2 2" xfId="710" xr:uid="{B970D7CB-8B85-4C76-9526-BCDA2FB7424D}"/>
    <cellStyle name="Separador de milhares 19 2 3" xfId="711" xr:uid="{72F63949-C27A-41BA-863E-28838F9D86E8}"/>
    <cellStyle name="Separador de milhares 2 10" xfId="712" xr:uid="{D6377131-4D77-4EF3-B3FE-0484E141EDB9}"/>
    <cellStyle name="Separador de milhares 2 10 2" xfId="713" xr:uid="{48E9BECE-2B0D-4541-A1ED-AECAEC0F8D80}"/>
    <cellStyle name="Separador de milhares 2 10 2 2" xfId="714" xr:uid="{0A386B8D-29AC-41FA-81A4-54CCC823622D}"/>
    <cellStyle name="Separador de milhares 2 10 2 2 2" xfId="715" xr:uid="{218D21F8-7B7C-47EB-94BF-9C04BF7BE79D}"/>
    <cellStyle name="Separador de milhares 2 10 2 3" xfId="716" xr:uid="{12C29441-08D8-4341-8F46-4018D4A1E4D8}"/>
    <cellStyle name="Separador de milhares 2 11" xfId="717" xr:uid="{82655361-0EB8-4EDE-87BA-11DB399D0466}"/>
    <cellStyle name="Separador de milhares 2 11 2" xfId="718" xr:uid="{226F0985-DEE0-4128-A785-C0116627EB2B}"/>
    <cellStyle name="Separador de milhares 2 11 2 2" xfId="719" xr:uid="{8CE6003C-9F18-46E5-BA0F-B92D6E9F12D4}"/>
    <cellStyle name="Separador de milhares 2 11 2 2 2" xfId="720" xr:uid="{105B2098-28D1-45A9-8FAF-0D91ECCB5301}"/>
    <cellStyle name="Separador de milhares 2 11 2 3" xfId="721" xr:uid="{A7EF0941-CD0D-4FFE-A0F2-8753F0AD33A2}"/>
    <cellStyle name="Separador de milhares 2 12" xfId="722" xr:uid="{BBD1E28E-261C-48FF-A8DA-6BDE54557D3C}"/>
    <cellStyle name="Separador de milhares 2 12 2" xfId="723" xr:uid="{F6AB39AD-B3EF-49C4-9904-1707C6D30A40}"/>
    <cellStyle name="Separador de milhares 2 12 2 2" xfId="724" xr:uid="{09D1D38A-601A-4B7A-91FD-22CA3508ED1B}"/>
    <cellStyle name="Separador de milhares 2 12 2 2 2" xfId="725" xr:uid="{3B64AE1C-6204-439B-94B0-195FB96ED553}"/>
    <cellStyle name="Separador de milhares 2 12 2 3" xfId="726" xr:uid="{F870BA31-A66D-4C83-A477-71368B7037AA}"/>
    <cellStyle name="Separador de milhares 2 13" xfId="727" xr:uid="{592EC4C0-AF10-4C68-95BB-C6E7F429FAA1}"/>
    <cellStyle name="Separador de milhares 2 13 2" xfId="728" xr:uid="{41E074C0-AF81-4681-A44A-35C63C1AF2D9}"/>
    <cellStyle name="Separador de milhares 2 13 2 2" xfId="729" xr:uid="{AFB3C47F-43FE-41F7-B15F-00684395DFC4}"/>
    <cellStyle name="Separador de milhares 2 13 2 2 2" xfId="730" xr:uid="{AF546598-5389-493A-89FD-878E4C3E2A6B}"/>
    <cellStyle name="Separador de milhares 2 13 2 3" xfId="731" xr:uid="{9BF3AB58-75A4-4541-A67C-9D90D3E51544}"/>
    <cellStyle name="Separador de milhares 2 14" xfId="732" xr:uid="{4034736A-8FB4-4D5F-B57D-C39A6ABA6001}"/>
    <cellStyle name="Separador de milhares 2 14 2" xfId="733" xr:uid="{E07E50C9-285B-469A-9273-F9201D980A08}"/>
    <cellStyle name="Separador de milhares 2 14 2 2" xfId="734" xr:uid="{D12A333A-303B-4DF1-B0F2-421F39B66359}"/>
    <cellStyle name="Separador de milhares 2 14 2 2 2" xfId="735" xr:uid="{EEC23714-7203-4A75-BD29-1374C36B9F3C}"/>
    <cellStyle name="Separador de milhares 2 14 2 3" xfId="736" xr:uid="{B536F4E1-227C-4A68-A1ED-95C76545F325}"/>
    <cellStyle name="Separador de milhares 2 15" xfId="737" xr:uid="{BDE2D891-22B7-4BDF-A0AB-2CE702001936}"/>
    <cellStyle name="Separador de milhares 2 15 2" xfId="738" xr:uid="{0724E3BB-F54B-406F-B0BB-2768BAFBA2A1}"/>
    <cellStyle name="Separador de milhares 2 15 2 2" xfId="739" xr:uid="{EA7A322A-52E2-47C2-B9E1-0EDE246FB662}"/>
    <cellStyle name="Separador de milhares 2 15 2 2 2" xfId="740" xr:uid="{05751CDE-701B-49A2-A4F5-65EC9AE61306}"/>
    <cellStyle name="Separador de milhares 2 15 2 3" xfId="741" xr:uid="{B8D7D879-B648-412F-B695-B76E4B893F80}"/>
    <cellStyle name="Separador de milhares 2 16" xfId="742" xr:uid="{A6255F3C-A018-4E0D-BD97-1A3804B83172}"/>
    <cellStyle name="Separador de milhares 2 16 2" xfId="743" xr:uid="{126B080C-97CC-49B6-8469-E0E84A2B2BB2}"/>
    <cellStyle name="Separador de milhares 2 16 2 2" xfId="744" xr:uid="{F43B73E8-B551-409C-8A2C-8D4280AC2168}"/>
    <cellStyle name="Separador de milhares 2 16 2 2 2" xfId="745" xr:uid="{321B9506-223E-4E19-BE37-B9D2916C313C}"/>
    <cellStyle name="Separador de milhares 2 16 2 3" xfId="746" xr:uid="{C981B9BE-1BDF-4455-BA55-1F526ECF86A9}"/>
    <cellStyle name="Separador de milhares 2 17" xfId="747" xr:uid="{ADD7A5DF-8F42-4A48-BD44-B3BCA9C59909}"/>
    <cellStyle name="Separador de milhares 2 17 2" xfId="748" xr:uid="{C66D4310-29A2-4EBA-A1F2-DA6AB992952B}"/>
    <cellStyle name="Separador de milhares 2 17 2 2" xfId="749" xr:uid="{2D64B907-59ED-449A-9B7B-13CEEF8910E1}"/>
    <cellStyle name="Separador de milhares 2 17 2 2 2" xfId="750" xr:uid="{90A98F3B-6D60-4009-8CE8-8DFD175C2C87}"/>
    <cellStyle name="Separador de milhares 2 17 2 3" xfId="751" xr:uid="{06522393-0F00-4318-8882-C1A2D415C939}"/>
    <cellStyle name="Separador de milhares 2 18" xfId="752" xr:uid="{692D11FC-5B96-499B-BDE5-BDC05719085F}"/>
    <cellStyle name="Separador de milhares 2 18 2" xfId="753" xr:uid="{022F446F-7BE2-478C-9C1F-C1F1172B7236}"/>
    <cellStyle name="Separador de milhares 2 18 2 2" xfId="754" xr:uid="{C87D690E-312B-4569-B924-714CAF7A3923}"/>
    <cellStyle name="Separador de milhares 2 18 2 2 2" xfId="755" xr:uid="{7074A1EC-4D38-49A1-A260-C1F5C9121695}"/>
    <cellStyle name="Separador de milhares 2 18 2 3" xfId="756" xr:uid="{3F3EE16C-67E8-4CED-B8C2-D96B2B942705}"/>
    <cellStyle name="Separador de milhares 2 19" xfId="757" xr:uid="{11645EC0-9133-4B0F-8BC3-7AB13F74BE42}"/>
    <cellStyle name="Separador de milhares 2 19 2" xfId="758" xr:uid="{FFE779B8-1E62-4799-AC70-3DD3B81B0657}"/>
    <cellStyle name="Separador de milhares 2 19 2 2" xfId="759" xr:uid="{4CD86984-1673-445C-85BB-4C57D17475FF}"/>
    <cellStyle name="Separador de milhares 2 19 2 2 2" xfId="760" xr:uid="{D34DF834-9090-43F2-BED6-C6443FAA2D7B}"/>
    <cellStyle name="Separador de milhares 2 19 2 3" xfId="761" xr:uid="{A7E70DA3-3C5E-4B71-B09D-B7A42C5E95B0}"/>
    <cellStyle name="Separador de milhares 2 2" xfId="762" xr:uid="{6F909C3D-053C-49B6-BBF4-39D68EE44508}"/>
    <cellStyle name="Separador de milhares 2 2 2" xfId="763" xr:uid="{9B2E5A91-D0AA-46D7-A265-16CAC79D2E2A}"/>
    <cellStyle name="Separador de milhares 2 2 3" xfId="764" xr:uid="{AE712C68-70EE-4B3E-89D0-11155CF3E337}"/>
    <cellStyle name="Separador de milhares 2 2 3 2" xfId="765" xr:uid="{93047790-B62B-4F33-940C-4F5DF3AB7EB1}"/>
    <cellStyle name="Separador de milhares 2 2 3 2 2" xfId="766" xr:uid="{E4271E03-E52D-4237-8549-C2F1460EEAE2}"/>
    <cellStyle name="Separador de milhares 2 2 3 3" xfId="767" xr:uid="{7BC99D78-DD3D-4F34-AEEC-B389928C4A70}"/>
    <cellStyle name="Separador de milhares 2 20" xfId="768" xr:uid="{412520D1-93A6-4219-8E15-78FDAEC730F9}"/>
    <cellStyle name="Separador de milhares 2 20 2" xfId="769" xr:uid="{17128054-EFEB-4BF3-B7CD-B8B6E557A2A8}"/>
    <cellStyle name="Separador de milhares 2 20 2 2" xfId="770" xr:uid="{BC42E6CD-1F9D-4AA5-93ED-44AFC17CEDB0}"/>
    <cellStyle name="Separador de milhares 2 20 2 2 2" xfId="771" xr:uid="{8D5BBDDE-814D-4C17-AEFB-398747C4A919}"/>
    <cellStyle name="Separador de milhares 2 20 2 3" xfId="772" xr:uid="{8A86B0D0-3F47-46F2-85F8-F1BF1F51F2FB}"/>
    <cellStyle name="Separador de milhares 2 21" xfId="773" xr:uid="{F277E689-75AC-40A2-8810-C3A3AA3B6F13}"/>
    <cellStyle name="Separador de milhares 2 21 2" xfId="774" xr:uid="{05D1390C-B4C1-46D7-B77F-D092BF5B24C5}"/>
    <cellStyle name="Separador de milhares 2 21 2 2" xfId="775" xr:uid="{4E9F355C-0215-4837-A062-8435F44E1A50}"/>
    <cellStyle name="Separador de milhares 2 21 2 2 2" xfId="776" xr:uid="{ACC716FD-324F-4F48-AD0A-862A3CF826DB}"/>
    <cellStyle name="Separador de milhares 2 21 2 3" xfId="777" xr:uid="{6D472730-2CC3-4A58-884E-5ADE052E912F}"/>
    <cellStyle name="Separador de milhares 2 22" xfId="778" xr:uid="{CA1C065C-A141-4ACD-8A49-8C1831C3168A}"/>
    <cellStyle name="Separador de milhares 2 22 2" xfId="779" xr:uid="{1AC965A7-EE87-4758-BF1B-89653DD65D8D}"/>
    <cellStyle name="Separador de milhares 2 22 2 2" xfId="780" xr:uid="{871D809B-497E-4169-974A-AD058B2DA853}"/>
    <cellStyle name="Separador de milhares 2 22 2 2 2" xfId="781" xr:uid="{07527E16-993D-4B7D-8B32-85E711A593F2}"/>
    <cellStyle name="Separador de milhares 2 22 2 3" xfId="782" xr:uid="{31718560-9E0B-4C46-91FB-D672A9FB7DF5}"/>
    <cellStyle name="Separador de milhares 2 23" xfId="783" xr:uid="{2DD9B189-8C81-4A1F-AEAE-0B45DA43C95E}"/>
    <cellStyle name="Separador de milhares 2 23 2" xfId="784" xr:uid="{D401C29B-8F85-45A1-B11E-E8E38FA89028}"/>
    <cellStyle name="Separador de milhares 2 23 2 2" xfId="785" xr:uid="{01EFA798-28EF-4127-9253-E3246F067752}"/>
    <cellStyle name="Separador de milhares 2 23 2 2 2" xfId="786" xr:uid="{65DC08E0-1F00-4174-90B7-4DC67291EFE8}"/>
    <cellStyle name="Separador de milhares 2 23 2 3" xfId="787" xr:uid="{2C58052C-8FA5-439E-84AA-4073453134A3}"/>
    <cellStyle name="Separador de milhares 2 24" xfId="788" xr:uid="{F22D8FAC-A9F0-4054-BD7E-A0C02161305C}"/>
    <cellStyle name="Separador de milhares 2 24 2" xfId="789" xr:uid="{5A1ADC8B-DF51-4086-88C8-A00FF4754ADE}"/>
    <cellStyle name="Separador de milhares 2 24 2 2" xfId="790" xr:uid="{16E31D16-4353-47C5-9A17-F8FD14AA0C7D}"/>
    <cellStyle name="Separador de milhares 2 24 2 2 2" xfId="791" xr:uid="{C52EACCA-2708-4951-921F-6A7E9AFEA8CA}"/>
    <cellStyle name="Separador de milhares 2 24 2 3" xfId="792" xr:uid="{F76385F2-64D8-4BBE-BFE5-74DD5D9C35B9}"/>
    <cellStyle name="Separador de milhares 2 25" xfId="793" xr:uid="{7B5F8FA7-5D9C-46D0-BB30-0277B35EB6DB}"/>
    <cellStyle name="Separador de milhares 2 25 2" xfId="794" xr:uid="{3EAD2806-F2C3-4A1A-8CB7-1601770D7F9F}"/>
    <cellStyle name="Separador de milhares 2 25 2 2" xfId="795" xr:uid="{FFD4646F-24C6-4B49-9A21-9E5A669F928C}"/>
    <cellStyle name="Separador de milhares 2 25 2 2 2" xfId="796" xr:uid="{16B53D42-0514-45A0-BE01-7B48529BD571}"/>
    <cellStyle name="Separador de milhares 2 25 2 3" xfId="797" xr:uid="{0375B351-5A5A-4921-B1A7-AA3B8BDD95E7}"/>
    <cellStyle name="Separador de milhares 2 26" xfId="798" xr:uid="{0C663D6D-BA4B-4335-99DE-0823C0C4E718}"/>
    <cellStyle name="Separador de milhares 2 26 2" xfId="799" xr:uid="{25143672-16A6-4A59-9660-7E257C44AEC5}"/>
    <cellStyle name="Separador de milhares 2 26 2 2" xfId="800" xr:uid="{6FD80513-1B26-4939-87F6-6995E9621C56}"/>
    <cellStyle name="Separador de milhares 2 26 2 2 2" xfId="801" xr:uid="{B14360B7-89E9-4B12-B618-82523C967B21}"/>
    <cellStyle name="Separador de milhares 2 26 2 3" xfId="802" xr:uid="{C5978138-5D1A-4CF5-8821-26CBC84384E1}"/>
    <cellStyle name="Separador de milhares 2 27" xfId="803" xr:uid="{DFD103D2-5CE0-4A8E-A80C-32AE184315D4}"/>
    <cellStyle name="Separador de milhares 2 27 2" xfId="804" xr:uid="{F42338D7-7F10-43EC-BC9E-24DCF24DBBED}"/>
    <cellStyle name="Separador de milhares 2 27 2 2" xfId="805" xr:uid="{F5A7F440-C645-4124-B231-97CA3E523D29}"/>
    <cellStyle name="Separador de milhares 2 27 2 2 2" xfId="806" xr:uid="{552D9B85-1D2C-49F8-8D7F-F35C7E11A9E1}"/>
    <cellStyle name="Separador de milhares 2 27 2 3" xfId="807" xr:uid="{0E86F16D-19C4-4023-920B-1331484D25E5}"/>
    <cellStyle name="Separador de milhares 2 28" xfId="808" xr:uid="{BCF19278-F27D-4C42-8EB2-81A046F48768}"/>
    <cellStyle name="Separador de milhares 2 28 2" xfId="809" xr:uid="{11D0C346-6660-41B2-9BB3-C28FBC6B2255}"/>
    <cellStyle name="Separador de milhares 2 28 2 2" xfId="810" xr:uid="{2F92C20E-8CB0-4DD8-88CD-EC12177E83AD}"/>
    <cellStyle name="Separador de milhares 2 28 2 2 2" xfId="811" xr:uid="{8B9FADC7-6561-4A95-8B46-6AB6F754D0B7}"/>
    <cellStyle name="Separador de milhares 2 28 2 3" xfId="812" xr:uid="{496FFE44-1534-459A-97DF-B496DD38116F}"/>
    <cellStyle name="Separador de milhares 2 29" xfId="813" xr:uid="{4AFA3BD4-9B32-4DD6-B466-495BAFDC6326}"/>
    <cellStyle name="Separador de milhares 2 29 2" xfId="814" xr:uid="{655F9A3E-F1D1-45C6-A9B5-094D9A108886}"/>
    <cellStyle name="Separador de milhares 2 29 2 2" xfId="815" xr:uid="{3928C4CD-FDEA-4D6F-8A1D-BEF5B67FF6F5}"/>
    <cellStyle name="Separador de milhares 2 29 2 2 2" xfId="816" xr:uid="{922175E4-34BC-487E-8A9F-3C74F95A0AF4}"/>
    <cellStyle name="Separador de milhares 2 29 2 3" xfId="817" xr:uid="{224F8A18-5C26-45D2-BFA4-2CCDBFD7FA38}"/>
    <cellStyle name="Separador de milhares 2 3" xfId="818" xr:uid="{312DC761-7997-4F3F-BA97-BCBAD7A0B143}"/>
    <cellStyle name="Separador de milhares 2 3 2" xfId="819" xr:uid="{E3557FA0-EA1A-4F29-B202-FA0BC39E51CB}"/>
    <cellStyle name="Separador de milhares 2 3 2 2" xfId="820" xr:uid="{3BA90709-DA7D-4CC9-8F66-9FDA193B4927}"/>
    <cellStyle name="Separador de milhares 2 3 2 2 2" xfId="821" xr:uid="{8D5C13FD-877B-404E-91AE-460B308CD47E}"/>
    <cellStyle name="Separador de milhares 2 3 2 3" xfId="822" xr:uid="{C085B5C5-90B5-43CE-8A18-FA4E1942C49B}"/>
    <cellStyle name="Separador de milhares 2 30" xfId="823" xr:uid="{92E69517-A51B-4879-9394-A6B82544A376}"/>
    <cellStyle name="Separador de milhares 2 30 2" xfId="824" xr:uid="{64D39C68-A7BD-4819-9FAA-8FD43118A5B7}"/>
    <cellStyle name="Separador de milhares 2 30 2 2" xfId="825" xr:uid="{6F40A145-CD25-4055-BE9C-15F0D406CF1C}"/>
    <cellStyle name="Separador de milhares 2 30 2 2 2" xfId="826" xr:uid="{69DF49F2-0A5B-4934-95DA-B798299ADCF2}"/>
    <cellStyle name="Separador de milhares 2 30 2 3" xfId="827" xr:uid="{E1513129-47C6-4305-BBA1-85C19FBEE214}"/>
    <cellStyle name="Separador de milhares 2 31" xfId="828" xr:uid="{F51C4B25-85BE-4B3F-8407-186AFEBC7A00}"/>
    <cellStyle name="Separador de milhares 2 31 2" xfId="829" xr:uid="{2422EC83-8DD1-45EA-9845-D491EED141BB}"/>
    <cellStyle name="Separador de milhares 2 31 2 2" xfId="830" xr:uid="{38AC4231-3DBD-4AC1-9250-49066F633D9F}"/>
    <cellStyle name="Separador de milhares 2 31 2 2 2" xfId="831" xr:uid="{B6BE9A18-B2EF-4A5A-9B08-931DC3835B77}"/>
    <cellStyle name="Separador de milhares 2 31 2 3" xfId="832" xr:uid="{57EB1F44-BF73-4FAC-B148-190A47074E4D}"/>
    <cellStyle name="Separador de milhares 2 4" xfId="833" xr:uid="{D88F17D1-39FA-44E0-89EE-77CB3F2E0190}"/>
    <cellStyle name="Separador de milhares 2 4 2" xfId="834" xr:uid="{E461851E-2B04-42F9-AD32-E56A3FAB6600}"/>
    <cellStyle name="Separador de milhares 2 4 2 2" xfId="835" xr:uid="{D20D7E6C-0D36-4251-B6F6-FCEE57F6BD36}"/>
    <cellStyle name="Separador de milhares 2 4 2 2 2" xfId="836" xr:uid="{D997F24D-C1EF-4591-A840-7F8A8C883CC5}"/>
    <cellStyle name="Separador de milhares 2 4 2 3" xfId="837" xr:uid="{3D14A256-2858-48CC-8D54-D652C0CCEE63}"/>
    <cellStyle name="Separador de milhares 2 5" xfId="838" xr:uid="{F8E84C2A-586B-41D0-AA7C-5396C0CE8B9C}"/>
    <cellStyle name="Separador de milhares 2 5 2" xfId="839" xr:uid="{147967D9-DDDA-4A8B-9063-812A3C14F476}"/>
    <cellStyle name="Separador de milhares 2 5 2 2" xfId="840" xr:uid="{601F7082-B498-44EF-BDF5-B0AF3F9FE171}"/>
    <cellStyle name="Separador de milhares 2 5 2 2 2" xfId="841" xr:uid="{F61743C9-6873-401A-819E-CCB85FD3968E}"/>
    <cellStyle name="Separador de milhares 2 5 2 3" xfId="842" xr:uid="{60067088-4C9C-4537-966B-3C72C38E1A15}"/>
    <cellStyle name="Separador de milhares 2 6" xfId="843" xr:uid="{E059D212-753C-40C7-ABB9-DD98DCA58CF6}"/>
    <cellStyle name="Separador de milhares 2 6 2" xfId="844" xr:uid="{23317E5E-9A62-4683-986C-9E8478C65C3F}"/>
    <cellStyle name="Separador de milhares 2 6 2 2" xfId="845" xr:uid="{DB954708-FF4E-42F5-B071-59AEBF137B73}"/>
    <cellStyle name="Separador de milhares 2 6 2 2 2" xfId="846" xr:uid="{DB7884CB-8C20-4299-B881-2C57F524B1B9}"/>
    <cellStyle name="Separador de milhares 2 6 2 3" xfId="847" xr:uid="{BE328EA5-D33E-453F-A5B1-D18AB22D3D3D}"/>
    <cellStyle name="Separador de milhares 2 7" xfId="848" xr:uid="{60DCFE7C-8819-4B9F-B56F-8C8358404EEC}"/>
    <cellStyle name="Separador de milhares 2 7 2" xfId="849" xr:uid="{B121039B-7BB4-455C-B83A-FA31A9184CF4}"/>
    <cellStyle name="Separador de milhares 2 7 2 2" xfId="850" xr:uid="{9CEF0A0E-628F-425C-B739-85C4CB5FADAF}"/>
    <cellStyle name="Separador de milhares 2 7 2 2 2" xfId="851" xr:uid="{04BB81A0-0774-4F59-9331-F36F5AE2E42D}"/>
    <cellStyle name="Separador de milhares 2 7 2 3" xfId="852" xr:uid="{B548C60B-99CE-4B47-9981-7BAA2AB644A5}"/>
    <cellStyle name="Separador de milhares 2 8" xfId="853" xr:uid="{A95DCE16-221B-4397-AAE9-E44AF10FAFC7}"/>
    <cellStyle name="Separador de milhares 2 8 2" xfId="854" xr:uid="{0C189ABE-FCE9-4C09-BE3D-977ED0869EE3}"/>
    <cellStyle name="Separador de milhares 2 8 2 2" xfId="855" xr:uid="{9A3EDB28-A327-4D88-A5A8-BF679715362E}"/>
    <cellStyle name="Separador de milhares 2 8 2 2 2" xfId="856" xr:uid="{7AEE06BA-65AC-400B-BC5C-733D8D4F70A5}"/>
    <cellStyle name="Separador de milhares 2 8 2 3" xfId="857" xr:uid="{E197B92A-54C0-4026-978D-AEF2B8849201}"/>
    <cellStyle name="Separador de milhares 2 9" xfId="858" xr:uid="{C4EABAD4-D7E9-40E8-ABF0-90595E242451}"/>
    <cellStyle name="Separador de milhares 2 9 2" xfId="859" xr:uid="{1FA2560E-724B-4D10-B086-8A7D87DB7F7B}"/>
    <cellStyle name="Separador de milhares 2 9 2 2" xfId="860" xr:uid="{654D79A7-BBC4-4D58-8799-4AE7CB2EA9B6}"/>
    <cellStyle name="Separador de milhares 2 9 2 2 2" xfId="861" xr:uid="{4BFCAFE7-9724-40EF-83E9-CAD3C4B518B6}"/>
    <cellStyle name="Separador de milhares 2 9 2 3" xfId="862" xr:uid="{40022F1A-567D-420E-A2CE-7B7066EF6FD0}"/>
    <cellStyle name="Separador de milhares 20" xfId="863" xr:uid="{807CAB32-651E-46B7-A788-7B04634063DB}"/>
    <cellStyle name="Separador de milhares 20 2" xfId="864" xr:uid="{10661934-D441-4960-A64A-0F34258DC512}"/>
    <cellStyle name="Separador de milhares 20 2 2" xfId="865" xr:uid="{73E53AD7-1B2C-4C1C-9AC4-2FB5A3907571}"/>
    <cellStyle name="Separador de milhares 20 2 2 2" xfId="866" xr:uid="{31D648AE-3569-4DB7-BC39-05015F5A844A}"/>
    <cellStyle name="Separador de milhares 20 2 3" xfId="867" xr:uid="{DD24AD08-0800-4A01-A8C1-E180E3974F78}"/>
    <cellStyle name="Separador de milhares 21" xfId="868" xr:uid="{D4E92757-4A88-40B3-BE9C-767F6E858547}"/>
    <cellStyle name="Separador de milhares 21 2" xfId="869" xr:uid="{7A45205D-7F3F-4FD9-9E2E-AED4771FC167}"/>
    <cellStyle name="Separador de milhares 21 2 2" xfId="870" xr:uid="{4000002F-5BBD-4988-9A08-C94FB06CCB51}"/>
    <cellStyle name="Separador de milhares 21 2 2 2" xfId="871" xr:uid="{2E82C669-CE6D-4E1B-9F15-C0942E21FD6F}"/>
    <cellStyle name="Separador de milhares 21 2 3" xfId="872" xr:uid="{C292FF5F-A666-4BAE-B672-C9334C80490F}"/>
    <cellStyle name="Separador de milhares 22" xfId="873" xr:uid="{0928BC36-3BB4-473E-B08E-6FAECE17353C}"/>
    <cellStyle name="Separador de milhares 22 2" xfId="874" xr:uid="{67FCA636-1A51-4F7C-81D6-5F2DD523A948}"/>
    <cellStyle name="Separador de milhares 22 2 2" xfId="875" xr:uid="{6860FA79-CBCE-4478-8923-4EFF548FB0CD}"/>
    <cellStyle name="Separador de milhares 22 2 2 2" xfId="876" xr:uid="{E288263A-97D3-4FF7-9B15-63FAC27A3F75}"/>
    <cellStyle name="Separador de milhares 22 2 3" xfId="877" xr:uid="{CC86B10F-E4E7-4A22-B376-B4D3EE9C2927}"/>
    <cellStyle name="Separador de milhares 23" xfId="878" xr:uid="{58677013-A37A-4F00-9BFC-9008671F4746}"/>
    <cellStyle name="Separador de milhares 23 2" xfId="879" xr:uid="{7B9B1B8D-1EA6-445F-9249-3E580601B4FA}"/>
    <cellStyle name="Separador de milhares 23 2 2" xfId="880" xr:uid="{EDBE5722-F1B9-45EE-90B9-3474F209D116}"/>
    <cellStyle name="Separador de milhares 23 2 2 2" xfId="881" xr:uid="{8464AF11-4EE0-4BC2-8D36-8E5EB0ADD810}"/>
    <cellStyle name="Separador de milhares 23 2 3" xfId="882" xr:uid="{2E19584A-C9A3-4B80-82AA-9FAFC788EA79}"/>
    <cellStyle name="Separador de milhares 24" xfId="883" xr:uid="{A6F0934D-6258-4761-820A-F48AB296EE34}"/>
    <cellStyle name="Separador de milhares 24 2" xfId="884" xr:uid="{FA4ED1A7-A7DF-4415-9EA0-85F7EF771DBD}"/>
    <cellStyle name="Separador de milhares 24 2 2" xfId="885" xr:uid="{EDED4053-6A15-4B20-B73A-3187A24B3E1B}"/>
    <cellStyle name="Separador de milhares 24 2 2 2" xfId="886" xr:uid="{10665D0B-D4E2-461F-8B3A-FA9FC0BDD518}"/>
    <cellStyle name="Separador de milhares 24 2 3" xfId="887" xr:uid="{D18953BC-1522-4F50-A577-08525CE044F1}"/>
    <cellStyle name="Separador de milhares 25" xfId="888" xr:uid="{B1C2AAA0-5ABF-4068-AC18-14116A5069E7}"/>
    <cellStyle name="Separador de milhares 25 2" xfId="889" xr:uid="{047CD499-2514-4774-B51F-A4D18A3F5532}"/>
    <cellStyle name="Separador de milhares 25 2 2" xfId="890" xr:uid="{D4BD516C-00AC-4150-8FB0-A426DD9DEFF2}"/>
    <cellStyle name="Separador de milhares 25 2 2 2" xfId="891" xr:uid="{05765072-C58C-4973-A80A-22DECD414870}"/>
    <cellStyle name="Separador de milhares 25 2 3" xfId="892" xr:uid="{283DEF20-E567-4964-8315-2FBAD2BC7632}"/>
    <cellStyle name="Separador de milhares 26" xfId="893" xr:uid="{DBC6A0F1-9A4D-41F7-BD1A-165F9570E4B6}"/>
    <cellStyle name="Separador de milhares 26 2" xfId="894" xr:uid="{63CA0C8E-AEC1-4738-B20B-62B48D072206}"/>
    <cellStyle name="Separador de milhares 26 2 2" xfId="895" xr:uid="{5F2D04DA-80E6-4AA8-A0DC-2DD53A056C8E}"/>
    <cellStyle name="Separador de milhares 26 2 2 2" xfId="896" xr:uid="{32E4FE89-36A3-40FA-AF63-DC821C703F94}"/>
    <cellStyle name="Separador de milhares 26 2 3" xfId="897" xr:uid="{73B01584-14EF-4F90-B12A-3B3439240CB4}"/>
    <cellStyle name="Separador de milhares 27" xfId="898" xr:uid="{A956B0D1-FB9F-4286-AAED-FDEAB515AA17}"/>
    <cellStyle name="Separador de milhares 27 2" xfId="899" xr:uid="{AD273FCE-384E-4475-88C2-7E207F55FB56}"/>
    <cellStyle name="Separador de milhares 27 2 2" xfId="900" xr:uid="{193FB0B3-21AB-4699-9038-ABD35BE6E09B}"/>
    <cellStyle name="Separador de milhares 27 2 2 2" xfId="901" xr:uid="{E6546C03-C4EA-4B20-B7CC-DFF3E86DBD92}"/>
    <cellStyle name="Separador de milhares 27 2 3" xfId="902" xr:uid="{85DB91F0-84A3-4FD9-A792-BBF15772E199}"/>
    <cellStyle name="Separador de milhares 28" xfId="903" xr:uid="{A1F101AA-035F-4F26-8B77-2506704EE89B}"/>
    <cellStyle name="Separador de milhares 28 2" xfId="904" xr:uid="{7C42DE0C-73AE-4156-B683-CE6ED83DBD74}"/>
    <cellStyle name="Separador de milhares 28 2 2" xfId="905" xr:uid="{CA3B766E-F801-41C3-8BAB-08B1EE760191}"/>
    <cellStyle name="Separador de milhares 28 2 2 2" xfId="906" xr:uid="{23ABB88B-872C-426B-B0FC-8469B5CE99E2}"/>
    <cellStyle name="Separador de milhares 28 2 3" xfId="907" xr:uid="{180EB8FC-FA6F-4281-B7C5-910773BB9ABE}"/>
    <cellStyle name="Separador de milhares 29" xfId="908" xr:uid="{9F9852FA-66CD-4051-9C4B-4B0499AF349E}"/>
    <cellStyle name="Separador de milhares 29 2" xfId="909" xr:uid="{AD2D7347-4E62-46EB-B720-9CB7EC540A46}"/>
    <cellStyle name="Separador de milhares 29 2 2" xfId="910" xr:uid="{F14240A8-D93C-477D-8CC4-93A90D58C448}"/>
    <cellStyle name="Separador de milhares 29 2 2 2" xfId="911" xr:uid="{9D1D2DC8-40D4-4466-9D07-FA3860748F3F}"/>
    <cellStyle name="Separador de milhares 29 2 3" xfId="912" xr:uid="{2DACF9A3-95D1-48B0-8D3A-046D76D59D5F}"/>
    <cellStyle name="Separador de milhares 3 2" xfId="913" xr:uid="{87088B43-E2A5-4ADE-90B4-1CFAA9C3E266}"/>
    <cellStyle name="Separador de milhares 3 2 2" xfId="914" xr:uid="{20950131-1B66-46A9-8485-FA304AE19B8C}"/>
    <cellStyle name="Separador de milhares 3 2 2 2" xfId="915" xr:uid="{FB516779-9892-4998-89A9-99653B434A79}"/>
    <cellStyle name="Separador de milhares 3 2 2 2 2" xfId="916" xr:uid="{6A3170F7-FADB-49E4-B93F-3A72BBCE3123}"/>
    <cellStyle name="Separador de milhares 3 2 2 3" xfId="917" xr:uid="{6CB33C53-69CA-49B6-AD06-556789092BA7}"/>
    <cellStyle name="Separador de milhares 3 3" xfId="918" xr:uid="{04FFC3C2-608A-48C2-B457-EA699F7EBD52}"/>
    <cellStyle name="Separador de milhares 3 3 2" xfId="919" xr:uid="{AD880741-3437-4959-96E9-EC951A517817}"/>
    <cellStyle name="Separador de milhares 3 3 2 2" xfId="920" xr:uid="{2F95D8FF-DE23-4A88-A828-74CA92AD0485}"/>
    <cellStyle name="Separador de milhares 3 3 2 2 2" xfId="921" xr:uid="{7B36EA26-9465-4C55-AD13-8433A7C95501}"/>
    <cellStyle name="Separador de milhares 3 3 2 3" xfId="922" xr:uid="{01BEFA16-8A92-4CFB-B847-B59704B233BE}"/>
    <cellStyle name="Separador de milhares 3 4" xfId="923" xr:uid="{CD937A08-C9C5-47B0-9F8B-E72B42B92116}"/>
    <cellStyle name="Separador de milhares 3 4 2" xfId="924" xr:uid="{85E3CA45-218A-4B73-B08B-B883EF8C5BD3}"/>
    <cellStyle name="Separador de milhares 3 4 2 2" xfId="925" xr:uid="{72091AFC-065D-4F39-9124-92675D224C6E}"/>
    <cellStyle name="Separador de milhares 3 4 2 2 2" xfId="926" xr:uid="{CEB15C60-8DB5-423D-B625-C5EAAFF9DBC1}"/>
    <cellStyle name="Separador de milhares 3 4 2 3" xfId="927" xr:uid="{013FE982-B33C-4327-B8DC-36D09F9DD8EF}"/>
    <cellStyle name="Separador de milhares 30" xfId="928" xr:uid="{55490B0C-228E-4F4D-9B75-94A1FC73762B}"/>
    <cellStyle name="Separador de milhares 30 2" xfId="929" xr:uid="{C51C2381-258A-44AA-B1D4-5BE514735F0C}"/>
    <cellStyle name="Separador de milhares 30 2 2" xfId="930" xr:uid="{A257B53C-87CF-4551-B47B-0AC67FBE64F9}"/>
    <cellStyle name="Separador de milhares 30 2 2 2" xfId="931" xr:uid="{49397A13-2D52-4D5C-92D9-0F457B9718EC}"/>
    <cellStyle name="Separador de milhares 30 2 3" xfId="932" xr:uid="{3526ADF0-BC60-4D8B-B538-3FD4FF3BE07E}"/>
    <cellStyle name="Separador de milhares 31" xfId="933" xr:uid="{D38660CD-60C9-4075-8BF4-C6F9E95EFD4B}"/>
    <cellStyle name="Separador de milhares 31 2" xfId="934" xr:uid="{C46258E3-1588-4773-93C4-CD74F1E2DFB6}"/>
    <cellStyle name="Separador de milhares 31 2 2" xfId="935" xr:uid="{389C5538-B010-4C2C-B149-8FCD6F4ED99D}"/>
    <cellStyle name="Separador de milhares 31 2 2 2" xfId="936" xr:uid="{D60B3B6C-2E28-4F07-92DA-F3087ED325C6}"/>
    <cellStyle name="Separador de milhares 31 2 3" xfId="937" xr:uid="{0AB19BBE-A4EA-442D-A682-463DD99511D0}"/>
    <cellStyle name="Separador de milhares 4" xfId="938" xr:uid="{23306AD4-2ECE-417F-8D59-4172FB450A04}"/>
    <cellStyle name="Separador de milhares 4 2" xfId="939" xr:uid="{1ED83FDD-D503-47FF-BF2D-B291A129CCAF}"/>
    <cellStyle name="Separador de milhares 4 2 2" xfId="940" xr:uid="{964540AD-1D17-4B03-A9A8-B6661444A3A8}"/>
    <cellStyle name="Separador de milhares 4 2 2 2" xfId="941" xr:uid="{081595FD-4314-4F98-8C53-129F7E6128C8}"/>
    <cellStyle name="Separador de milhares 4 2 3" xfId="942" xr:uid="{699C7533-98B3-4E1F-ABD2-D4A38A2BF84D}"/>
    <cellStyle name="Separador de milhares 5" xfId="943" xr:uid="{23402B7F-AF48-45B6-A289-5BFB0E572396}"/>
    <cellStyle name="Separador de milhares 5 2" xfId="944" xr:uid="{39D6A820-A639-404F-96DB-C0AD1210BE4D}"/>
    <cellStyle name="Separador de milhares 5 2 2" xfId="945" xr:uid="{024F6971-7149-49A8-BC4C-97BB23241AA6}"/>
    <cellStyle name="Separador de milhares 5 2 2 2" xfId="946" xr:uid="{F08297C6-3EE1-488A-B957-0A849FE5B458}"/>
    <cellStyle name="Separador de milhares 5 2 2 2 2" xfId="947" xr:uid="{0BB0FE22-39D1-4871-8A3B-8DBCF268FBE2}"/>
    <cellStyle name="Separador de milhares 5 2 2 3" xfId="948" xr:uid="{F994B944-5593-466B-85EA-50E931125D74}"/>
    <cellStyle name="Separador de milhares 5 3" xfId="949" xr:uid="{283AB998-7A77-4C9A-8091-4E344A8A1726}"/>
    <cellStyle name="Separador de milhares 5 3 2" xfId="950" xr:uid="{004920BD-7A56-47B7-A758-524D36E19126}"/>
    <cellStyle name="Separador de milhares 5 3 2 2" xfId="951" xr:uid="{383CFF72-50C4-4DC4-9FAB-01F3B6ABC8A6}"/>
    <cellStyle name="Separador de milhares 5 3 2 2 2" xfId="952" xr:uid="{7F526719-1EC0-4F5F-AE48-1B003B1A323D}"/>
    <cellStyle name="Separador de milhares 5 3 2 3" xfId="953" xr:uid="{491ACFDB-B68C-4C93-AB92-CCA3BDF1622F}"/>
    <cellStyle name="Separador de milhares 5 4" xfId="954" xr:uid="{71FEFC92-639C-4A08-B47D-11023395177F}"/>
    <cellStyle name="Separador de milhares 5 4 2" xfId="955" xr:uid="{4EAD427F-35FD-4A93-AEC9-EF1AA44C7B1B}"/>
    <cellStyle name="Separador de milhares 5 4 2 2" xfId="956" xr:uid="{01DD91F3-20E4-4C28-BDF5-C7E8FC741D3D}"/>
    <cellStyle name="Separador de milhares 5 4 3" xfId="957" xr:uid="{96B6F1EC-F83C-4806-A207-A36072A6F0FF}"/>
    <cellStyle name="Separador de milhares 6" xfId="958" xr:uid="{C462B797-C360-44F1-BE9A-FFD35745EBF4}"/>
    <cellStyle name="Separador de milhares 6 2" xfId="959" xr:uid="{6C65865E-4E43-4C60-BB28-DD4F86D24054}"/>
    <cellStyle name="Separador de milhares 6 2 2" xfId="960" xr:uid="{158F2AA7-69CB-4F64-B19B-70F767066C16}"/>
    <cellStyle name="Separador de milhares 6 2 2 2" xfId="961" xr:uid="{CE937BF9-7E30-421C-AFF3-3E705228526A}"/>
    <cellStyle name="Separador de milhares 6 2 2 2 2" xfId="962" xr:uid="{FDF03ACF-1F1C-47BD-BD5C-A17CE3F057CC}"/>
    <cellStyle name="Separador de milhares 6 2 2 3" xfId="963" xr:uid="{BF3022A3-FB87-4954-BA7F-CC58FF545738}"/>
    <cellStyle name="Separador de milhares 6 3" xfId="964" xr:uid="{A0F892B2-38E9-4135-B5EF-380F47F70100}"/>
    <cellStyle name="Separador de milhares 6 3 2" xfId="965" xr:uid="{E95EE1DE-F899-4B75-B43D-8FAD2A1D3762}"/>
    <cellStyle name="Separador de milhares 6 3 2 2" xfId="966" xr:uid="{3990039F-F74B-4133-82A4-6CB050148D83}"/>
    <cellStyle name="Separador de milhares 6 3 3" xfId="967" xr:uid="{5E53E660-52D4-4730-93D0-FD0473E3189C}"/>
    <cellStyle name="Separador de milhares 7" xfId="7" xr:uid="{452E7B2E-3B2E-4993-9BCA-54AD25EE54D2}"/>
    <cellStyle name="Separador de milhares 7 2" xfId="969" xr:uid="{33F0A56A-8499-4A9D-960B-48A0196AED60}"/>
    <cellStyle name="Separador de milhares 7 2 2" xfId="970" xr:uid="{28CE1447-3E6D-4E47-A316-617628C59A91}"/>
    <cellStyle name="Separador de milhares 7 2 2 2" xfId="971" xr:uid="{626A1693-56EA-427F-BA2B-C0042431D2B6}"/>
    <cellStyle name="Separador de milhares 7 2 3" xfId="972" xr:uid="{7EDD3569-9E53-4ACA-91B5-8C7AD4CF7AF8}"/>
    <cellStyle name="Separador de milhares 7 3" xfId="968" xr:uid="{AC2CACEC-2415-490C-A927-50580A10994F}"/>
    <cellStyle name="Separador de milhares 8" xfId="973" xr:uid="{306D0D1A-D6F4-4201-BCB5-70A1D6D86148}"/>
    <cellStyle name="Separador de milhares 8 2" xfId="974" xr:uid="{A5B639B1-4E45-441E-9D8A-6AABF2B3FAA5}"/>
    <cellStyle name="Separador de milhares 8 2 2" xfId="975" xr:uid="{21E2078C-F54F-4206-A3F9-853ED5286519}"/>
    <cellStyle name="Separador de milhares 8 2 2 2" xfId="976" xr:uid="{3BEEEB2A-1571-4870-9452-18870AEB1EAC}"/>
    <cellStyle name="Separador de milhares 8 2 3" xfId="977" xr:uid="{0703E214-3E92-478A-A91C-ECF294C1F22E}"/>
    <cellStyle name="Separador de milhares 9" xfId="978" xr:uid="{0EDEE7FA-4C9D-42E8-8511-702E2D075813}"/>
    <cellStyle name="Separador de milhares 9 2" xfId="979" xr:uid="{64682AA6-6372-45A1-A91C-6A60CF2D167A}"/>
    <cellStyle name="Separador de milhares 9 2 2" xfId="980" xr:uid="{72BE15CD-9F4B-49C8-8C9F-D7C99C419632}"/>
    <cellStyle name="Separador de milhares 9 2 2 2" xfId="981" xr:uid="{84F94104-D227-48EE-8B85-93A9380BFAED}"/>
    <cellStyle name="Separador de milhares 9 2 3" xfId="982" xr:uid="{89321CC3-42BF-4AC5-9AD8-8A25D28D23ED}"/>
    <cellStyle name="Separador de milhares_Inst.cant.obras-I (1)_ORÇAMENTO EMERGÊNCIAL - BR-174.AM 2" xfId="11" xr:uid="{E619A032-F204-4A7F-8778-664BD009CA50}"/>
    <cellStyle name="Separador de milhares_ORÇAMENTO EMERGÊNCIAL - BR-174.AM 2" xfId="12" xr:uid="{A103A7BA-28DF-4734-A462-A8F6D052BC5B}"/>
    <cellStyle name="Texto de Aviso 2" xfId="983" xr:uid="{4D73912B-D6B4-4796-A510-413E6423799A}"/>
    <cellStyle name="Texto de Aviso 2 2" xfId="984" xr:uid="{FC8017A6-90E3-4938-83EC-E3C46A016155}"/>
    <cellStyle name="Texto de Aviso 2 3" xfId="985" xr:uid="{C7AE8496-9F0A-4D14-A2D1-FAE868BB1B4F}"/>
    <cellStyle name="Texto de Aviso 2_ORÇAMENTO - FORUM DE V. GRANDE" xfId="986" xr:uid="{91E2BF0A-EF06-426C-A629-38753A69A36F}"/>
    <cellStyle name="Texto de Aviso 3" xfId="987" xr:uid="{4A9D59A8-60B1-45B6-AE2C-39F4709A92F4}"/>
    <cellStyle name="Texto de Aviso 4" xfId="988" xr:uid="{4238BA73-1558-454A-AC00-A747A937976F}"/>
    <cellStyle name="Texto de Aviso 5" xfId="989" xr:uid="{A605218B-2E8C-4135-A446-FB4DB4414F48}"/>
    <cellStyle name="Texto de Aviso 6" xfId="990" xr:uid="{461B79E5-1B49-4857-A5DB-232B952BF14C}"/>
    <cellStyle name="Texto Explicativo 2" xfId="991" xr:uid="{549C2087-11AE-4B0A-9A93-B06C4C3DBDFE}"/>
    <cellStyle name="Texto Explicativo 2 2" xfId="992" xr:uid="{08EE98E2-9403-4DDD-9D84-439386FB0C9C}"/>
    <cellStyle name="Texto Explicativo 2 3" xfId="993" xr:uid="{0D50BC4F-1F23-4721-9F56-75C48230F86D}"/>
    <cellStyle name="Texto Explicativo 2_ORÇAMENTO - FORUM DE V. GRANDE" xfId="994" xr:uid="{1889874A-E4E2-43C3-A231-F3F98CB69BF0}"/>
    <cellStyle name="Texto Explicativo 3" xfId="995" xr:uid="{2F02C8C5-506B-41AB-8637-B1F81F17AEBA}"/>
    <cellStyle name="Texto Explicativo 4" xfId="996" xr:uid="{03C6C04A-3A7D-4734-B937-D5DFA608528F}"/>
    <cellStyle name="Texto Explicativo 5" xfId="997" xr:uid="{5C77354D-2D2E-4626-903B-2F6A91C206A3}"/>
    <cellStyle name="Texto Explicativo 6" xfId="998" xr:uid="{C0FD5FDE-FBA0-4599-BB06-DA042A6602A0}"/>
    <cellStyle name="Title" xfId="999" xr:uid="{0B1019E5-9657-4055-8D75-0C5950973CF6}"/>
    <cellStyle name="Título 1 2" xfId="1000" xr:uid="{14AE5961-D2A7-4D2A-B268-29EA39E57003}"/>
    <cellStyle name="Título 1 2 2" xfId="1001" xr:uid="{308F0185-A7A5-4067-928E-EB34492FF8E4}"/>
    <cellStyle name="Título 1 2 3" xfId="1002" xr:uid="{54C9CB47-4DC6-47EA-8B4A-45124B8291EE}"/>
    <cellStyle name="Título 1 2_CIVIL- BL 1-2-3-4-5-6-7-8 " xfId="1003" xr:uid="{F47FB01F-2180-46DA-9B88-8BB60CA9DD9D}"/>
    <cellStyle name="Título 1 3" xfId="1004" xr:uid="{C2B6628C-8894-417F-B5C6-02A119B664FD}"/>
    <cellStyle name="Título 1 4" xfId="1005" xr:uid="{A83CADAA-B727-4719-AF78-941FAAE57EC8}"/>
    <cellStyle name="Título 1 5" xfId="1006" xr:uid="{DCAC6735-4AD6-41EC-84FF-83DE170B4DE4}"/>
    <cellStyle name="Título 1 6" xfId="1007" xr:uid="{982EC3D8-55FC-469D-84F0-EBFD541A6FE0}"/>
    <cellStyle name="Título 10" xfId="1008" xr:uid="{7B0F9C0C-93E9-46FE-A89C-407799DB2192}"/>
    <cellStyle name="Título 2 2" xfId="1009" xr:uid="{5901B6B8-03C6-467E-93C8-FBD2311149C2}"/>
    <cellStyle name="Título 2 2 2" xfId="1010" xr:uid="{1452E487-4FE8-44BE-B6D2-F83CE94DF42F}"/>
    <cellStyle name="Título 2 2 3" xfId="1011" xr:uid="{D0279EAE-0EB3-4521-ADEC-4C7AC27FD32E}"/>
    <cellStyle name="Título 2 2_CIVIL- BL 1-2-3-4-5-6-7-8 " xfId="1012" xr:uid="{6CA90A53-E2B2-4125-9C15-2010651241F6}"/>
    <cellStyle name="Título 2 3" xfId="1013" xr:uid="{33416427-BFAD-404F-A813-7C2869A98BD0}"/>
    <cellStyle name="Título 2 4" xfId="1014" xr:uid="{978C823D-B361-484A-857F-5CD534FC5FD3}"/>
    <cellStyle name="Título 2 5" xfId="1015" xr:uid="{E5B74092-55F3-43C8-8598-ECE8BAE59CF5}"/>
    <cellStyle name="Título 2 6" xfId="1016" xr:uid="{DD2FBDF4-C20B-42C8-8654-ADBD78081F75}"/>
    <cellStyle name="Título 3 2" xfId="1017" xr:uid="{37913D0E-8BA9-4325-A45B-698B65AB0B35}"/>
    <cellStyle name="Título 3 2 2" xfId="1018" xr:uid="{F69AD3C5-ED3A-4F4F-8F7F-3261A0DC1DE5}"/>
    <cellStyle name="Título 3 2 3" xfId="1019" xr:uid="{E998444E-6F15-414B-864B-EB92BCE0F9D9}"/>
    <cellStyle name="Título 3 2_CIVIL- BL 1-2-3-4-5-6-7-8 " xfId="1020" xr:uid="{5DF38ED6-9A6C-486E-B9EB-D01DDDF8E3F0}"/>
    <cellStyle name="Título 3 3" xfId="1021" xr:uid="{16199836-71B9-473E-BE67-6283F8C847EA}"/>
    <cellStyle name="Título 3 4" xfId="1022" xr:uid="{3DC4A15E-DB53-449E-AC5B-358E2709D15F}"/>
    <cellStyle name="Título 3 5" xfId="1023" xr:uid="{A7B5C05F-D984-4C40-9A50-7A6323117F25}"/>
    <cellStyle name="Título 3 6" xfId="1024" xr:uid="{23588415-E677-4D55-9199-1C042E6F1D1B}"/>
    <cellStyle name="Título 4 2" xfId="1025" xr:uid="{DA19200D-EBD8-452E-9507-E5DBAFEDE98D}"/>
    <cellStyle name="Título 4 2 2" xfId="1026" xr:uid="{5DCEF752-9E05-4A92-BE05-306BD36C131F}"/>
    <cellStyle name="Título 4 2 3" xfId="1027" xr:uid="{4802FAE3-D36B-4905-A4AC-9C464DB22CBD}"/>
    <cellStyle name="Título 4 2_ORÇAMENTO - FORUM DE V. GRANDE" xfId="1028" xr:uid="{08AE2D58-4EDB-4771-8935-85EDE54E390C}"/>
    <cellStyle name="Título 4 3" xfId="1029" xr:uid="{2C62274F-DF16-45A9-A907-3B4C1E09CCE2}"/>
    <cellStyle name="Título 4 4" xfId="1030" xr:uid="{196B65AD-9178-48C5-9F3A-6040ADE7F0D8}"/>
    <cellStyle name="Título 4 5" xfId="1031" xr:uid="{85D70E77-9AD7-46D4-80D9-6A4AD12F7766}"/>
    <cellStyle name="Título 4 6" xfId="1032" xr:uid="{20FFF247-BDC3-4A91-9761-57403C030D60}"/>
    <cellStyle name="Título 5" xfId="1033" xr:uid="{047FE7F4-C56A-4E0E-8FB3-3CCD72C3EDAB}"/>
    <cellStyle name="Título 5 2" xfId="1034" xr:uid="{FD1934EF-B541-48A8-AAB7-D07CFBEC195F}"/>
    <cellStyle name="Título 5 3" xfId="1035" xr:uid="{A73B42A1-0976-4386-A08F-2180EBBBFA9B}"/>
    <cellStyle name="Título 5_ORÇAMENTO - FORUM DE V. GRANDE" xfId="1036" xr:uid="{B3D30F00-5976-492C-BD54-0966A799B07E}"/>
    <cellStyle name="Título 6" xfId="1037" xr:uid="{5D01A6C7-4BB5-48B9-8394-0A9C7532250A}"/>
    <cellStyle name="Título 7" xfId="1038" xr:uid="{2B994942-0162-48FA-B6CB-9631EA88C7B8}"/>
    <cellStyle name="Título 8" xfId="1039" xr:uid="{E4803919-CF52-4800-8FA3-3D4F22D02179}"/>
    <cellStyle name="Título 9" xfId="1040" xr:uid="{6349160A-A729-47CB-A270-B0CFD5A68061}"/>
    <cellStyle name="Total 2" xfId="1041" xr:uid="{4535508C-8AA1-4BF0-BCCA-26D5F6C099FD}"/>
    <cellStyle name="Total 2 2" xfId="1042" xr:uid="{C8320350-FF56-4B6B-A75A-E7B1A6FF9C4B}"/>
    <cellStyle name="Total 2 3" xfId="1043" xr:uid="{01D3A37C-6A76-4FDC-AB65-B048C55589E0}"/>
    <cellStyle name="Total 2_CIVIL- BL 1-2-3-4-5-6-7-8 " xfId="1044" xr:uid="{5E5C94EE-E0FD-4CA3-99D8-800F2602395D}"/>
    <cellStyle name="Total 3" xfId="1045" xr:uid="{9CFB37BB-4A8B-40E9-8055-2C5F878AB1D4}"/>
    <cellStyle name="Total 4" xfId="1046" xr:uid="{F05540C0-744D-451B-B502-FF01ABB481BA}"/>
    <cellStyle name="Total 5" xfId="1047" xr:uid="{912BE4DA-ABD1-405C-9D22-A501D02A57B6}"/>
    <cellStyle name="Total 6" xfId="1048" xr:uid="{44FC6794-17A3-403D-8480-9376450EA4F5}"/>
    <cellStyle name="Total 7" xfId="1049" xr:uid="{CC6EA74D-9109-4369-8AE0-D7C65FAECD78}"/>
    <cellStyle name="Vírgula" xfId="1" builtinId="3"/>
    <cellStyle name="Vírgula 2" xfId="4" xr:uid="{7FC19EEB-1ED6-4E93-8BF7-20797D53305F}"/>
    <cellStyle name="Vírgula 2 2" xfId="1052" xr:uid="{5B29A891-A774-4374-8A93-442CBCC50874}"/>
    <cellStyle name="Vírgula 2 2 2" xfId="1053" xr:uid="{A8161D5C-A592-470B-B9BF-37FA33113941}"/>
    <cellStyle name="Vírgula 2 2 2 2" xfId="1054" xr:uid="{49864BC7-C506-4964-9C5A-0357AE21C383}"/>
    <cellStyle name="Vírgula 2 2 2 2 2" xfId="1055" xr:uid="{5FEF2378-D419-4AA1-B87D-6660B2A75A7E}"/>
    <cellStyle name="Vírgula 2 2 2 3" xfId="1056" xr:uid="{2CD6A165-C8DF-4F24-A090-F9ABD36D72E1}"/>
    <cellStyle name="Vírgula 2 3" xfId="1057" xr:uid="{6FB251E6-BB26-4A53-A45B-689D796F54A2}"/>
    <cellStyle name="Vírgula 2 3 2" xfId="1058" xr:uid="{E5EB3993-F0AF-45C8-8079-1A0805F6C5F2}"/>
    <cellStyle name="Vírgula 2 3 2 2" xfId="1059" xr:uid="{CBBD96D9-6C87-4FDA-8B75-F08B02F778FD}"/>
    <cellStyle name="Vírgula 2 3 2 2 2" xfId="1060" xr:uid="{C570A387-C54E-4059-B100-5496479AF3A6}"/>
    <cellStyle name="Vírgula 2 3 2 3" xfId="1061" xr:uid="{2179AF63-EC5F-4455-A1BA-2263C9F8FB5A}"/>
    <cellStyle name="Vírgula 2 4" xfId="1062" xr:uid="{1EDE12AE-6FE9-4D36-A878-1219B4622DD3}"/>
    <cellStyle name="Vírgula 2 4 2" xfId="1063" xr:uid="{56B11BAE-EF4D-416E-A8A0-C0AFB8EBB881}"/>
    <cellStyle name="Vírgula 2 4 2 2" xfId="1064" xr:uid="{D5610BA4-C6E5-471B-A360-434C47B6BF13}"/>
    <cellStyle name="Vírgula 2 4 3" xfId="1065" xr:uid="{C81DF5BD-7184-4D84-9182-49BC9AD7BA4D}"/>
    <cellStyle name="Vírgula 2 5" xfId="1051" xr:uid="{62201002-0CDE-4064-B140-70FF4C96B18F}"/>
    <cellStyle name="Vírgula 3" xfId="1066" xr:uid="{681CAD07-7886-460F-8340-1BE440CA0A3E}"/>
    <cellStyle name="Vírgula 3 2" xfId="1067" xr:uid="{6ECF2A99-9FC4-4B58-AA9E-E3A8C3C26A77}"/>
    <cellStyle name="Vírgula 3 2 2" xfId="1068" xr:uid="{7DBE3A6C-345E-435C-837C-5EA715A2EF6C}"/>
    <cellStyle name="Vírgula 3 2 2 2" xfId="1069" xr:uid="{6D922535-D450-4CC4-9C23-C600D3EC4B12}"/>
    <cellStyle name="Vírgula 3 2 2 2 2" xfId="1070" xr:uid="{8313257E-E3FD-4E95-BC6C-B552220FAA4D}"/>
    <cellStyle name="Vírgula 3 2 2 3" xfId="1071" xr:uid="{AB8995B8-CDD8-4A1F-8D1E-C3EACFCB7A19}"/>
    <cellStyle name="Vírgula 3 3" xfId="1072" xr:uid="{308E825B-3084-41AF-94AA-A13A00B1D459}"/>
    <cellStyle name="Vírgula 3 3 2" xfId="1073" xr:uid="{8F99B715-D397-49BA-9F9A-70FFE82C40C6}"/>
    <cellStyle name="Vírgula 3 3 2 2" xfId="1074" xr:uid="{DC00C334-5FE4-4DEF-B699-DE778102A11F}"/>
    <cellStyle name="Vírgula 3 3 3" xfId="1075" xr:uid="{F5484588-30D2-47A9-BD9D-D7A057CC9196}"/>
    <cellStyle name="Vírgula 4" xfId="1076" xr:uid="{0E661148-53BC-474E-8545-4751C39104EE}"/>
    <cellStyle name="Vírgula 4 2" xfId="1077" xr:uid="{0173DE35-0FC5-439C-90D0-28140E23D037}"/>
    <cellStyle name="Vírgula 4 2 2" xfId="1078" xr:uid="{1FBFC483-464D-4BE6-A442-7A4A011F721F}"/>
    <cellStyle name="Vírgula 4 2 2 2" xfId="1079" xr:uid="{BE2A22B6-2D2C-46E0-8950-315761FDE04D}"/>
    <cellStyle name="Vírgula 4 2 2 2 2" xfId="1080" xr:uid="{8990C4AE-5558-4E6B-8ECE-A6BCA60E1307}"/>
    <cellStyle name="Vírgula 4 2 2 3" xfId="1081" xr:uid="{EE94C999-7D1A-4C7E-8D72-A82CC99280A7}"/>
    <cellStyle name="Vírgula 4 3" xfId="1082" xr:uid="{D97C111B-A086-4AB7-815F-FCC636920B72}"/>
    <cellStyle name="Vírgula 4 3 2" xfId="1083" xr:uid="{2EBE86E8-60BD-45A9-9DB5-FFD0C12B4AD9}"/>
    <cellStyle name="Vírgula 4 3 2 2" xfId="1084" xr:uid="{65358D76-1205-4B90-866E-B3E9CA15E88A}"/>
    <cellStyle name="Vírgula 4 3 3" xfId="1085" xr:uid="{3CA3DF4E-6700-4D07-A8B3-353F11175F46}"/>
    <cellStyle name="Vírgula 5" xfId="1086" xr:uid="{172AEDCA-A42D-44CF-938C-3C352216A204}"/>
    <cellStyle name="Vírgula 5 2" xfId="1087" xr:uid="{6C1E8356-39F4-4CA1-934F-FAB38A8D6D00}"/>
    <cellStyle name="Vírgula 5 2 2" xfId="1088" xr:uid="{9813E008-1678-4E54-B148-5A00114FF0B2}"/>
    <cellStyle name="Vírgula 5 2 2 2" xfId="1089" xr:uid="{5AB7EF56-C851-4A5A-A502-220658A06815}"/>
    <cellStyle name="Vírgula 5 2 3" xfId="1090" xr:uid="{639A13A9-6C62-4267-A089-750601FE2D70}"/>
    <cellStyle name="Vírgula 5 3" xfId="1091" xr:uid="{D302FEEE-B944-42F0-81DB-0C733ADB6612}"/>
    <cellStyle name="Vírgula 5 3 2" xfId="1092" xr:uid="{9082AB7A-04DD-4438-A8CA-0C0F39B6CB8D}"/>
    <cellStyle name="Vírgula 5 4" xfId="1093" xr:uid="{D55DA52A-BD9D-4FFE-BE37-2FB03DA40057}"/>
    <cellStyle name="Vírgula 6" xfId="1094" xr:uid="{BFC26A62-8164-4FF5-B8A3-93CA87685E8E}"/>
    <cellStyle name="Vírgula 6 2" xfId="1095" xr:uid="{0E425BB8-0336-4E58-9C8B-52D5B12BED44}"/>
    <cellStyle name="Vírgula 6 2 2" xfId="1096" xr:uid="{563B4531-8B81-478D-9D5C-9E7E0508FD91}"/>
    <cellStyle name="Vírgula 6 3" xfId="1097" xr:uid="{DB527456-922A-4FA0-BB89-AAFE0B1E5F9B}"/>
    <cellStyle name="Vírgula 7" xfId="1050" xr:uid="{59255AC8-3C0A-4C23-BB0B-0CBE1B7872C4}"/>
    <cellStyle name="Warning Text" xfId="1098" xr:uid="{BE00B167-E3C0-4960-BFDC-3F028A7C39E4}"/>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12140</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59"/>
  <sheetViews>
    <sheetView tabSelected="1" topLeftCell="A10" zoomScaleNormal="100" workbookViewId="0">
      <selection activeCell="E49" sqref="E49"/>
    </sheetView>
  </sheetViews>
  <sheetFormatPr defaultRowHeight="12.75"/>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13.5" thickBot="1"/>
    <row r="2" spans="1:3" ht="20.25" customHeight="1">
      <c r="A2" s="505" t="s">
        <v>474</v>
      </c>
      <c r="B2" s="506"/>
      <c r="C2" s="507"/>
    </row>
    <row r="3" spans="1:3" ht="20.25" customHeight="1">
      <c r="A3" s="515" t="str">
        <f>ORÇAMENTO!D18</f>
        <v>MANUTENÇÃO CORRETIVA, PREVENTIVA E CONSERVAÇÃO DA MALHA VIÁRIA</v>
      </c>
      <c r="B3" s="516"/>
      <c r="C3" s="517"/>
    </row>
    <row r="4" spans="1:3" ht="20.25" customHeight="1">
      <c r="A4" s="515"/>
      <c r="B4" s="516"/>
      <c r="C4" s="517"/>
    </row>
    <row r="5" spans="1:3" ht="20.25" customHeight="1">
      <c r="A5" s="513"/>
      <c r="B5" s="514"/>
      <c r="C5" s="332"/>
    </row>
    <row r="6" spans="1:3" ht="20.25" customHeight="1">
      <c r="A6" s="524" t="s">
        <v>433</v>
      </c>
      <c r="B6" s="486" t="s">
        <v>515</v>
      </c>
      <c r="C6" s="487"/>
    </row>
    <row r="7" spans="1:3" ht="20.25" customHeight="1">
      <c r="A7" s="525"/>
      <c r="B7" s="486" t="s">
        <v>516</v>
      </c>
      <c r="C7" s="487"/>
    </row>
    <row r="8" spans="1:3" ht="20.25" customHeight="1">
      <c r="A8" s="525"/>
      <c r="B8" s="486" t="s">
        <v>517</v>
      </c>
      <c r="C8" s="487"/>
    </row>
    <row r="9" spans="1:3" ht="20.25" customHeight="1">
      <c r="A9" s="525"/>
      <c r="B9" s="486" t="s">
        <v>518</v>
      </c>
      <c r="C9" s="487"/>
    </row>
    <row r="10" spans="1:3" ht="20.25" customHeight="1">
      <c r="A10" s="518" t="s">
        <v>475</v>
      </c>
      <c r="B10" s="519"/>
      <c r="C10" s="520"/>
    </row>
    <row r="11" spans="1:3" ht="20.25" customHeight="1">
      <c r="A11" s="515"/>
      <c r="B11" s="516"/>
      <c r="C11" s="517"/>
    </row>
    <row r="12" spans="1:3" ht="12.75" customHeight="1">
      <c r="A12" s="515"/>
      <c r="B12" s="516"/>
      <c r="C12" s="517"/>
    </row>
    <row r="13" spans="1:3" ht="12.75" customHeight="1">
      <c r="A13" s="521"/>
      <c r="B13" s="522"/>
      <c r="C13" s="523"/>
    </row>
    <row r="14" spans="1:3">
      <c r="A14" s="508" t="s">
        <v>476</v>
      </c>
      <c r="B14" s="509" t="s">
        <v>477</v>
      </c>
      <c r="C14" s="320" t="s">
        <v>542</v>
      </c>
    </row>
    <row r="15" spans="1:3" ht="14.25" customHeight="1">
      <c r="A15" s="508"/>
      <c r="B15" s="509"/>
      <c r="C15" s="321" t="s">
        <v>543</v>
      </c>
    </row>
    <row r="16" spans="1:3">
      <c r="A16" s="508"/>
      <c r="B16" s="509"/>
      <c r="C16" s="321" t="s">
        <v>478</v>
      </c>
    </row>
    <row r="17" spans="1:3" ht="15.75">
      <c r="A17" s="322" t="s">
        <v>164</v>
      </c>
      <c r="B17" s="323" t="s">
        <v>320</v>
      </c>
      <c r="C17" s="324" t="s">
        <v>479</v>
      </c>
    </row>
    <row r="18" spans="1:3" ht="12.75" customHeight="1">
      <c r="A18" s="477" t="s">
        <v>328</v>
      </c>
      <c r="B18" s="480" t="str">
        <f>ORÇAMENTO!D19</f>
        <v>RECAPEAMENTO (E=5CM)</v>
      </c>
      <c r="C18" s="510">
        <f>ORÇAMENTO!K19</f>
        <v>10447155.5</v>
      </c>
    </row>
    <row r="19" spans="1:3" ht="14.25" customHeight="1">
      <c r="A19" s="478"/>
      <c r="B19" s="481"/>
      <c r="C19" s="511"/>
    </row>
    <row r="20" spans="1:3">
      <c r="A20" s="479"/>
      <c r="B20" s="482"/>
      <c r="C20" s="512"/>
    </row>
    <row r="21" spans="1:3">
      <c r="A21" s="477" t="s">
        <v>337</v>
      </c>
      <c r="B21" s="488" t="str">
        <f>ORÇAMENTO!D26</f>
        <v>REPERFILAMENTO (E=3CM)</v>
      </c>
      <c r="C21" s="483">
        <f>ORÇAMENTO!K26</f>
        <v>1592558.6500000001</v>
      </c>
    </row>
    <row r="22" spans="1:3">
      <c r="A22" s="478"/>
      <c r="B22" s="481"/>
      <c r="C22" s="484"/>
    </row>
    <row r="23" spans="1:3">
      <c r="A23" s="479"/>
      <c r="B23" s="481"/>
      <c r="C23" s="485"/>
    </row>
    <row r="24" spans="1:3">
      <c r="A24" s="477" t="s">
        <v>341</v>
      </c>
      <c r="B24" s="488" t="str">
        <f>ORÇAMENTO!D33</f>
        <v>TAPA BURACO -  C/ MBUQ</v>
      </c>
      <c r="C24" s="483">
        <f>ORÇAMENTO!K33</f>
        <v>1067163.5399999998</v>
      </c>
    </row>
    <row r="25" spans="1:3">
      <c r="A25" s="478"/>
      <c r="B25" s="481"/>
      <c r="C25" s="484"/>
    </row>
    <row r="26" spans="1:3">
      <c r="A26" s="479"/>
      <c r="B26" s="482"/>
      <c r="C26" s="485"/>
    </row>
    <row r="27" spans="1:3" ht="12.75" customHeight="1">
      <c r="A27" s="477" t="s">
        <v>502</v>
      </c>
      <c r="B27" s="480" t="str">
        <f>ORÇAMENTO!D41</f>
        <v xml:space="preserve">FRESAGEM E DEMOLIÇÃO DE CBUQ </v>
      </c>
      <c r="C27" s="351"/>
    </row>
    <row r="28" spans="1:3" ht="14.25">
      <c r="A28" s="478"/>
      <c r="B28" s="481"/>
      <c r="C28" s="325">
        <f>ORÇAMENTO!K41</f>
        <v>472514.4</v>
      </c>
    </row>
    <row r="29" spans="1:3" ht="14.25">
      <c r="A29" s="479"/>
      <c r="B29" s="482"/>
      <c r="C29" s="352"/>
    </row>
    <row r="30" spans="1:3">
      <c r="A30" s="477" t="s">
        <v>503</v>
      </c>
      <c r="B30" s="480" t="str">
        <f>ORÇAMENTO!D47</f>
        <v>RECUPERAÇÃO DE BASE COM RACHÃO</v>
      </c>
      <c r="C30" s="483">
        <f>ORÇAMENTO!K47</f>
        <v>899744.14999999991</v>
      </c>
    </row>
    <row r="31" spans="1:3">
      <c r="A31" s="478"/>
      <c r="B31" s="481"/>
      <c r="C31" s="484"/>
    </row>
    <row r="32" spans="1:3">
      <c r="A32" s="479"/>
      <c r="B32" s="482"/>
      <c r="C32" s="485"/>
    </row>
    <row r="33" spans="1:3" ht="12.75" customHeight="1">
      <c r="A33" s="477" t="s">
        <v>504</v>
      </c>
      <c r="B33" s="480" t="str">
        <f>ORÇAMENTO!D56</f>
        <v>RECUPERAÇÃO DE BASE COM CASCALHO</v>
      </c>
      <c r="C33" s="353"/>
    </row>
    <row r="34" spans="1:3" ht="14.25">
      <c r="A34" s="478"/>
      <c r="B34" s="489"/>
      <c r="C34" s="325">
        <f>ORÇAMENTO!K56</f>
        <v>420233.94</v>
      </c>
    </row>
    <row r="35" spans="1:3" ht="12.75" customHeight="1">
      <c r="A35" s="479"/>
      <c r="B35" s="490"/>
      <c r="C35" s="352"/>
    </row>
    <row r="36" spans="1:3" ht="12.75" customHeight="1">
      <c r="A36" s="477" t="s">
        <v>505</v>
      </c>
      <c r="B36" s="480" t="str">
        <f>ORÇAMENTO!D65</f>
        <v>SERVIÇOS COMPLEMENTARES</v>
      </c>
      <c r="C36" s="354"/>
    </row>
    <row r="37" spans="1:3" ht="14.25">
      <c r="A37" s="478"/>
      <c r="B37" s="489"/>
      <c r="C37" s="325">
        <f>ORÇAMENTO!K65</f>
        <v>1995353.5899999999</v>
      </c>
    </row>
    <row r="38" spans="1:3" ht="12.75" customHeight="1">
      <c r="A38" s="479"/>
      <c r="B38" s="490"/>
      <c r="C38" s="352"/>
    </row>
    <row r="39" spans="1:3" ht="12.75" customHeight="1">
      <c r="A39" s="477" t="s">
        <v>506</v>
      </c>
      <c r="B39" s="496" t="str">
        <f>ORÇAMENTO!D70</f>
        <v>RECUPERAÇÃO DE DRENAGEM</v>
      </c>
      <c r="C39" s="351"/>
    </row>
    <row r="40" spans="1:3" ht="12.75" customHeight="1">
      <c r="A40" s="478"/>
      <c r="B40" s="497"/>
      <c r="C40" s="351">
        <f>ORÇAMENTO!K70</f>
        <v>926276.47000000009</v>
      </c>
    </row>
    <row r="41" spans="1:3" ht="12.75" customHeight="1">
      <c r="A41" s="479"/>
      <c r="B41" s="498"/>
      <c r="C41" s="351"/>
    </row>
    <row r="42" spans="1:3" ht="12.75" customHeight="1">
      <c r="A42" s="477" t="s">
        <v>507</v>
      </c>
      <c r="B42" s="480" t="str">
        <f>ORÇAMENTO!D98</f>
        <v xml:space="preserve">SINALIZAÇÃO </v>
      </c>
      <c r="C42" s="353"/>
    </row>
    <row r="43" spans="1:3" ht="12.75" customHeight="1">
      <c r="A43" s="478"/>
      <c r="B43" s="481"/>
      <c r="C43" s="325">
        <f>ORÇAMENTO!K98</f>
        <v>64584.399999999994</v>
      </c>
    </row>
    <row r="44" spans="1:3" ht="12.75" customHeight="1">
      <c r="A44" s="479"/>
      <c r="B44" s="482"/>
      <c r="C44" s="352"/>
    </row>
    <row r="45" spans="1:3" ht="12.75" customHeight="1">
      <c r="A45" s="477" t="s">
        <v>508</v>
      </c>
      <c r="B45" s="493" t="str">
        <f>ORÇAMENTO!D102</f>
        <v>CANTEIRO DE OBRAS</v>
      </c>
      <c r="C45" s="353"/>
    </row>
    <row r="46" spans="1:3" ht="12.75" customHeight="1">
      <c r="A46" s="478"/>
      <c r="B46" s="494"/>
      <c r="C46" s="325">
        <f>ORÇAMENTO!K102</f>
        <v>51893.520000000004</v>
      </c>
    </row>
    <row r="47" spans="1:3" ht="12.75" customHeight="1">
      <c r="A47" s="479"/>
      <c r="B47" s="495"/>
      <c r="C47" s="352"/>
    </row>
    <row r="48" spans="1:3" ht="12.75" customHeight="1">
      <c r="A48" s="477" t="s">
        <v>511</v>
      </c>
      <c r="B48" s="493" t="str">
        <f>ORÇAMENTO!D108</f>
        <v xml:space="preserve">ADMINISTRAÇÃO LOCAL </v>
      </c>
      <c r="C48" s="353"/>
    </row>
    <row r="49" spans="1:3" ht="12.75" customHeight="1">
      <c r="A49" s="478"/>
      <c r="B49" s="494"/>
      <c r="C49" s="325">
        <f>ORÇAMENTO!K108</f>
        <v>704271.6</v>
      </c>
    </row>
    <row r="50" spans="1:3" ht="12.75" customHeight="1">
      <c r="A50" s="479"/>
      <c r="B50" s="495"/>
      <c r="C50" s="352"/>
    </row>
    <row r="51" spans="1:3" ht="14.25">
      <c r="A51" s="499" t="s">
        <v>480</v>
      </c>
      <c r="B51" s="500"/>
      <c r="C51" s="353"/>
    </row>
    <row r="52" spans="1:3" ht="15">
      <c r="A52" s="501"/>
      <c r="B52" s="502"/>
      <c r="C52" s="355">
        <f>SUM(C18:C50)</f>
        <v>18641749.759999998</v>
      </c>
    </row>
    <row r="53" spans="1:3" ht="14.25">
      <c r="A53" s="503"/>
      <c r="B53" s="504"/>
      <c r="C53" s="352"/>
    </row>
    <row r="54" spans="1:3" ht="15.75">
      <c r="A54" s="491"/>
      <c r="B54" s="492"/>
      <c r="C54" s="326"/>
    </row>
    <row r="55" spans="1:3" ht="15.75">
      <c r="A55" s="491"/>
      <c r="B55" s="492"/>
      <c r="C55" s="327"/>
    </row>
    <row r="56" spans="1:3" ht="15.75">
      <c r="A56" s="328"/>
      <c r="B56" s="329"/>
      <c r="C56" s="330"/>
    </row>
    <row r="58" spans="1:3" ht="15.75">
      <c r="A58" s="331"/>
    </row>
    <row r="59" spans="1:3" ht="15.75">
      <c r="A59" s="331"/>
    </row>
  </sheetData>
  <mergeCells count="40">
    <mergeCell ref="A2:C2"/>
    <mergeCell ref="A14:A16"/>
    <mergeCell ref="B14:B16"/>
    <mergeCell ref="A18:A20"/>
    <mergeCell ref="B18:B20"/>
    <mergeCell ref="C18:C20"/>
    <mergeCell ref="A5:B5"/>
    <mergeCell ref="A3:C4"/>
    <mergeCell ref="B6:C6"/>
    <mergeCell ref="A10:C13"/>
    <mergeCell ref="A6:A9"/>
    <mergeCell ref="A55:B55"/>
    <mergeCell ref="A39:A41"/>
    <mergeCell ref="A42:A44"/>
    <mergeCell ref="B42:B44"/>
    <mergeCell ref="A45:A47"/>
    <mergeCell ref="B45:B47"/>
    <mergeCell ref="A48:A50"/>
    <mergeCell ref="B48:B50"/>
    <mergeCell ref="B39:B41"/>
    <mergeCell ref="A51:B53"/>
    <mergeCell ref="A33:A35"/>
    <mergeCell ref="B33:B35"/>
    <mergeCell ref="A36:A38"/>
    <mergeCell ref="B36:B38"/>
    <mergeCell ref="A54:B54"/>
    <mergeCell ref="A30:A32"/>
    <mergeCell ref="B30:B32"/>
    <mergeCell ref="C30:C32"/>
    <mergeCell ref="B7:C7"/>
    <mergeCell ref="B8:C8"/>
    <mergeCell ref="B9:C9"/>
    <mergeCell ref="A27:A29"/>
    <mergeCell ref="B27:B29"/>
    <mergeCell ref="C24:C26"/>
    <mergeCell ref="A21:A23"/>
    <mergeCell ref="B21:B23"/>
    <mergeCell ref="C21:C23"/>
    <mergeCell ref="A24:A26"/>
    <mergeCell ref="B24:B26"/>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c r="A1" s="63"/>
      <c r="B1" s="63"/>
      <c r="C1" s="63"/>
      <c r="D1" s="63"/>
      <c r="E1" s="63"/>
      <c r="F1" s="63"/>
      <c r="G1" s="63"/>
      <c r="H1" s="63"/>
      <c r="I1" s="63"/>
      <c r="J1" s="63"/>
      <c r="K1" s="65"/>
      <c r="L1" s="66"/>
    </row>
    <row r="2" spans="1:12" ht="20.25">
      <c r="A2" s="100" t="s">
        <v>181</v>
      </c>
      <c r="B2" s="101"/>
      <c r="C2" s="102"/>
      <c r="D2" s="102"/>
      <c r="E2" s="102"/>
      <c r="F2" s="102"/>
      <c r="G2" s="101" t="s">
        <v>182</v>
      </c>
      <c r="H2" s="101"/>
      <c r="I2" s="102"/>
      <c r="J2" s="102"/>
      <c r="K2" s="102"/>
      <c r="L2" s="103" t="s">
        <v>201</v>
      </c>
    </row>
    <row r="3" spans="1:12" ht="20.25">
      <c r="A3" s="104" t="s">
        <v>183</v>
      </c>
      <c r="B3" s="105"/>
      <c r="C3" s="105"/>
      <c r="D3" s="106" t="s">
        <v>200</v>
      </c>
      <c r="E3" s="105"/>
      <c r="F3" s="105"/>
      <c r="G3" s="107" t="s">
        <v>65</v>
      </c>
      <c r="H3" s="107"/>
      <c r="I3" s="105"/>
      <c r="J3" s="105"/>
      <c r="K3" s="105"/>
      <c r="L3" s="108"/>
    </row>
    <row r="4" spans="1:12" ht="15.75" thickBot="1">
      <c r="A4" s="109" t="s">
        <v>199</v>
      </c>
      <c r="B4" s="55"/>
      <c r="C4" s="55"/>
      <c r="D4" s="55"/>
      <c r="E4" s="55"/>
      <c r="F4" s="55"/>
      <c r="G4" s="54"/>
      <c r="H4" s="56" t="s">
        <v>184</v>
      </c>
      <c r="I4" s="57">
        <v>552.9</v>
      </c>
      <c r="J4" s="58" t="s">
        <v>203</v>
      </c>
      <c r="K4" s="55"/>
      <c r="L4" s="110" t="s">
        <v>185</v>
      </c>
    </row>
    <row r="5" spans="1:12" ht="15.75" thickTop="1">
      <c r="A5" s="111"/>
      <c r="B5" s="59"/>
      <c r="C5" s="59"/>
      <c r="D5" s="59"/>
      <c r="E5" s="59"/>
      <c r="F5" s="59"/>
      <c r="G5" s="59"/>
      <c r="H5" s="59"/>
      <c r="I5" s="59"/>
      <c r="J5" s="59"/>
      <c r="K5" s="60"/>
      <c r="L5" s="112"/>
    </row>
    <row r="6" spans="1:12">
      <c r="A6" s="113" t="s">
        <v>202</v>
      </c>
      <c r="B6" s="61"/>
      <c r="C6" s="61"/>
      <c r="D6" s="61"/>
      <c r="E6" s="61"/>
      <c r="F6" s="62" t="s">
        <v>187</v>
      </c>
      <c r="G6" s="820" t="s">
        <v>193</v>
      </c>
      <c r="H6" s="820"/>
      <c r="I6" s="61" t="s">
        <v>204</v>
      </c>
      <c r="J6" s="61"/>
      <c r="K6" s="61"/>
      <c r="L6" s="114" t="s">
        <v>209</v>
      </c>
    </row>
    <row r="7" spans="1:12">
      <c r="A7" s="115"/>
      <c r="B7" s="63"/>
      <c r="C7" s="63"/>
      <c r="D7" s="63"/>
      <c r="E7" s="63"/>
      <c r="F7" s="63"/>
      <c r="G7" s="64" t="s">
        <v>194</v>
      </c>
      <c r="H7" s="64" t="s">
        <v>195</v>
      </c>
      <c r="I7" s="64" t="s">
        <v>205</v>
      </c>
      <c r="J7" s="64" t="s">
        <v>196</v>
      </c>
      <c r="K7" s="65"/>
      <c r="L7" s="116"/>
    </row>
    <row r="8" spans="1:12">
      <c r="A8" s="117" t="s">
        <v>206</v>
      </c>
      <c r="B8" s="67"/>
      <c r="C8" s="67" t="s">
        <v>207</v>
      </c>
      <c r="D8" s="92"/>
      <c r="E8" s="92"/>
      <c r="F8" s="118">
        <v>1</v>
      </c>
      <c r="G8" s="68">
        <v>1</v>
      </c>
      <c r="H8" s="92">
        <v>0</v>
      </c>
      <c r="I8" s="119">
        <v>289.79820000000001</v>
      </c>
      <c r="J8" s="92">
        <v>64.790400000000005</v>
      </c>
      <c r="K8" s="92"/>
      <c r="L8" s="120">
        <f>I8*G8</f>
        <v>289.79820000000001</v>
      </c>
    </row>
    <row r="9" spans="1:12">
      <c r="A9" s="117"/>
      <c r="B9" s="67"/>
      <c r="C9" s="67"/>
      <c r="D9" s="92"/>
      <c r="E9" s="92"/>
      <c r="F9" s="118"/>
      <c r="G9" s="68"/>
      <c r="H9" s="92"/>
      <c r="I9" s="119"/>
      <c r="J9" s="92"/>
      <c r="K9" s="92"/>
      <c r="L9" s="120"/>
    </row>
    <row r="10" spans="1:12">
      <c r="A10" s="117"/>
      <c r="B10" s="67"/>
      <c r="C10" s="67"/>
      <c r="D10" s="92"/>
      <c r="E10" s="92"/>
      <c r="F10" s="118"/>
      <c r="G10" s="68"/>
      <c r="H10" s="92"/>
      <c r="I10" s="119"/>
      <c r="J10" s="92"/>
      <c r="K10" s="92"/>
      <c r="L10" s="120"/>
    </row>
    <row r="11" spans="1:12">
      <c r="A11" s="117"/>
      <c r="B11" s="67"/>
      <c r="C11" s="67"/>
      <c r="D11" s="92"/>
      <c r="E11" s="92"/>
      <c r="F11" s="118"/>
      <c r="G11" s="68"/>
      <c r="H11" s="92"/>
      <c r="I11" s="119"/>
      <c r="J11" s="92"/>
      <c r="K11" s="92"/>
      <c r="L11" s="120"/>
    </row>
    <row r="12" spans="1:12">
      <c r="A12" s="117"/>
      <c r="B12" s="67"/>
      <c r="C12" s="67"/>
      <c r="D12" s="92"/>
      <c r="E12" s="92"/>
      <c r="F12" s="118"/>
      <c r="G12" s="68"/>
      <c r="H12" s="92"/>
      <c r="I12" s="119"/>
      <c r="J12" s="92"/>
      <c r="K12" s="92"/>
      <c r="L12" s="120"/>
    </row>
    <row r="13" spans="1:12">
      <c r="A13" s="117"/>
      <c r="B13" s="67"/>
      <c r="C13" s="67"/>
      <c r="D13" s="92"/>
      <c r="E13" s="92"/>
      <c r="F13" s="118"/>
      <c r="G13" s="68"/>
      <c r="H13" s="92"/>
      <c r="I13" s="119"/>
      <c r="J13" s="92"/>
      <c r="K13" s="92"/>
      <c r="L13" s="120"/>
    </row>
    <row r="14" spans="1:12">
      <c r="A14" s="115"/>
      <c r="B14" s="63"/>
      <c r="C14" s="63"/>
      <c r="D14" s="63"/>
      <c r="E14" s="63"/>
      <c r="F14" s="63"/>
      <c r="G14" s="63"/>
      <c r="H14" s="63"/>
      <c r="I14" s="64" t="s">
        <v>210</v>
      </c>
      <c r="J14" s="64"/>
      <c r="K14" s="65"/>
      <c r="L14" s="116">
        <f>L8</f>
        <v>289.79820000000001</v>
      </c>
    </row>
    <row r="15" spans="1:12">
      <c r="A15" s="113" t="s">
        <v>208</v>
      </c>
      <c r="B15" s="61"/>
      <c r="C15" s="61"/>
      <c r="D15" s="61"/>
      <c r="E15" s="61"/>
      <c r="F15" s="62" t="s">
        <v>187</v>
      </c>
      <c r="G15" s="61" t="s">
        <v>73</v>
      </c>
      <c r="H15" s="61"/>
      <c r="I15" s="61" t="s">
        <v>214</v>
      </c>
      <c r="J15" s="61"/>
      <c r="K15" s="61"/>
      <c r="L15" s="114" t="s">
        <v>215</v>
      </c>
    </row>
    <row r="16" spans="1:12">
      <c r="A16" s="115"/>
      <c r="B16" s="63"/>
      <c r="C16" s="63"/>
      <c r="D16" s="63"/>
      <c r="E16" s="63"/>
      <c r="F16" s="63"/>
      <c r="G16" s="64"/>
      <c r="H16" s="64"/>
      <c r="I16" s="64" t="s">
        <v>211</v>
      </c>
      <c r="J16" s="64"/>
      <c r="K16" s="65"/>
      <c r="L16" s="116"/>
    </row>
    <row r="17" spans="1:12">
      <c r="A17" s="121"/>
      <c r="B17" s="83"/>
      <c r="C17" s="83"/>
      <c r="D17" s="82"/>
      <c r="E17" s="82"/>
      <c r="F17" s="84"/>
      <c r="G17" s="85"/>
      <c r="H17" s="82"/>
      <c r="I17" s="81" t="s">
        <v>212</v>
      </c>
      <c r="J17" s="82"/>
      <c r="K17" s="82"/>
      <c r="L17" s="122">
        <f>L16+L14</f>
        <v>289.79820000000001</v>
      </c>
    </row>
    <row r="18" spans="1:12">
      <c r="A18" s="115"/>
      <c r="B18" s="63"/>
      <c r="C18" s="63"/>
      <c r="D18" s="63"/>
      <c r="E18" s="63"/>
      <c r="F18" s="63"/>
      <c r="G18" s="63"/>
      <c r="H18" s="63"/>
      <c r="I18" s="64" t="s">
        <v>213</v>
      </c>
      <c r="J18" s="64"/>
      <c r="K18" s="65"/>
      <c r="L18" s="123">
        <f>L17/I4</f>
        <v>0.52414215952251764</v>
      </c>
    </row>
    <row r="19" spans="1:12">
      <c r="A19" s="115"/>
      <c r="B19" s="63"/>
      <c r="C19" s="63"/>
      <c r="D19" s="63"/>
      <c r="E19" s="63"/>
      <c r="F19" s="63"/>
      <c r="G19" s="63"/>
      <c r="H19" s="63"/>
      <c r="I19" s="64" t="s">
        <v>216</v>
      </c>
      <c r="J19" s="64"/>
      <c r="K19" s="65"/>
      <c r="L19" s="124">
        <v>0</v>
      </c>
    </row>
    <row r="20" spans="1:12">
      <c r="A20" s="115"/>
      <c r="B20" s="63"/>
      <c r="C20" s="63"/>
      <c r="D20" s="63"/>
      <c r="E20" s="63"/>
      <c r="F20" s="63"/>
      <c r="G20" s="63"/>
      <c r="H20" s="63"/>
      <c r="I20" s="64" t="s">
        <v>217</v>
      </c>
      <c r="J20" s="64"/>
      <c r="K20" s="65"/>
      <c r="L20" s="124">
        <v>0</v>
      </c>
    </row>
    <row r="21" spans="1:12">
      <c r="A21" s="115"/>
      <c r="B21" s="63"/>
      <c r="C21" s="63"/>
      <c r="D21" s="63"/>
      <c r="E21" s="63"/>
      <c r="F21" s="63"/>
      <c r="G21" s="63"/>
      <c r="H21" s="63"/>
      <c r="I21" s="64"/>
      <c r="J21" s="64"/>
      <c r="K21" s="65"/>
      <c r="L21" s="116"/>
    </row>
    <row r="22" spans="1:12">
      <c r="A22" s="115"/>
      <c r="B22" s="63"/>
      <c r="C22" s="63"/>
      <c r="D22" s="63"/>
      <c r="E22" s="63"/>
      <c r="F22" s="63"/>
      <c r="G22" s="63"/>
      <c r="H22" s="63"/>
      <c r="I22" s="64"/>
      <c r="J22" s="64"/>
      <c r="K22" s="65"/>
      <c r="L22" s="116"/>
    </row>
    <row r="23" spans="1:12">
      <c r="A23" s="115"/>
      <c r="B23" s="63"/>
      <c r="C23" s="63"/>
      <c r="D23" s="63"/>
      <c r="E23" s="63"/>
      <c r="F23" s="63"/>
      <c r="G23" s="63"/>
      <c r="H23" s="63"/>
      <c r="I23" s="63"/>
      <c r="J23" s="63"/>
      <c r="K23" s="65"/>
      <c r="L23" s="116"/>
    </row>
    <row r="24" spans="1:12">
      <c r="A24" s="125" t="s">
        <v>186</v>
      </c>
      <c r="B24" s="69"/>
      <c r="C24" s="69"/>
      <c r="D24" s="69"/>
      <c r="E24" s="69"/>
      <c r="F24" s="70" t="s">
        <v>187</v>
      </c>
      <c r="G24" s="70" t="s">
        <v>73</v>
      </c>
      <c r="H24" s="69"/>
      <c r="I24" s="69" t="s">
        <v>188</v>
      </c>
      <c r="J24" s="69"/>
      <c r="K24" s="69"/>
      <c r="L24" s="126" t="s">
        <v>189</v>
      </c>
    </row>
    <row r="25" spans="1:12">
      <c r="A25" s="117"/>
      <c r="B25" s="67"/>
      <c r="C25" s="67"/>
      <c r="D25" s="92"/>
      <c r="E25" s="92"/>
      <c r="F25" s="118"/>
      <c r="G25" s="68"/>
      <c r="H25" s="92"/>
      <c r="I25" s="119"/>
      <c r="J25" s="92"/>
      <c r="K25" s="92"/>
      <c r="L25" s="120"/>
    </row>
    <row r="26" spans="1:12">
      <c r="A26" s="127"/>
      <c r="B26" s="67"/>
      <c r="C26" s="67"/>
      <c r="D26" s="92"/>
      <c r="E26" s="92"/>
      <c r="F26" s="118"/>
      <c r="G26" s="68"/>
      <c r="H26" s="92"/>
      <c r="I26" s="119"/>
      <c r="J26" s="92"/>
      <c r="K26" s="92"/>
      <c r="L26" s="120"/>
    </row>
    <row r="27" spans="1:12">
      <c r="A27" s="117"/>
      <c r="B27" s="67"/>
      <c r="C27" s="67"/>
      <c r="D27" s="92"/>
      <c r="E27" s="92"/>
      <c r="F27" s="71"/>
      <c r="G27" s="72"/>
      <c r="H27" s="92"/>
      <c r="I27" s="73"/>
      <c r="J27" s="92"/>
      <c r="K27" s="92"/>
      <c r="L27" s="128"/>
    </row>
    <row r="28" spans="1:12">
      <c r="A28" s="115"/>
      <c r="B28" s="821"/>
      <c r="C28" s="821"/>
      <c r="D28" s="63"/>
      <c r="E28" s="63"/>
      <c r="F28" s="63"/>
      <c r="G28" s="63"/>
      <c r="H28" s="63"/>
      <c r="I28" s="63"/>
      <c r="J28" s="63"/>
      <c r="K28" s="65" t="s">
        <v>190</v>
      </c>
      <c r="L28" s="124">
        <f>TRUNC(SUM(L25:L26),2)</f>
        <v>0</v>
      </c>
    </row>
    <row r="29" spans="1:12">
      <c r="A29" s="129" t="s">
        <v>191</v>
      </c>
      <c r="B29" s="75"/>
      <c r="C29" s="75"/>
      <c r="D29" s="75"/>
      <c r="E29" s="75"/>
      <c r="F29" s="76"/>
      <c r="G29" s="76" t="s">
        <v>192</v>
      </c>
      <c r="H29" s="75"/>
      <c r="I29" s="75"/>
      <c r="J29" s="75"/>
      <c r="K29" s="75"/>
      <c r="L29" s="130" t="s">
        <v>189</v>
      </c>
    </row>
    <row r="30" spans="1:12">
      <c r="A30" s="115"/>
      <c r="B30" s="63"/>
      <c r="C30" s="63"/>
      <c r="D30" s="63"/>
      <c r="E30" s="63"/>
      <c r="F30" s="77"/>
      <c r="G30" s="118"/>
      <c r="H30" s="63"/>
      <c r="I30" s="74"/>
      <c r="J30" s="63"/>
      <c r="K30" s="63"/>
      <c r="L30" s="128"/>
    </row>
    <row r="31" spans="1:12">
      <c r="A31" s="131"/>
      <c r="B31" s="78"/>
      <c r="C31" s="63"/>
      <c r="D31" s="63"/>
      <c r="E31" s="63"/>
      <c r="F31" s="77"/>
      <c r="G31" s="118"/>
      <c r="H31" s="63"/>
      <c r="I31" s="74"/>
      <c r="J31" s="63"/>
      <c r="K31" s="63"/>
      <c r="L31" s="128"/>
    </row>
    <row r="32" spans="1:12">
      <c r="A32" s="115"/>
      <c r="B32" s="63"/>
      <c r="C32" s="63"/>
      <c r="D32" s="63"/>
      <c r="E32" s="63"/>
      <c r="F32" s="77"/>
      <c r="G32" s="118"/>
      <c r="H32" s="63"/>
      <c r="I32" s="74"/>
      <c r="J32" s="63"/>
      <c r="K32" s="63"/>
      <c r="L32" s="128"/>
    </row>
    <row r="33" spans="1:14">
      <c r="A33" s="115"/>
      <c r="B33" s="63"/>
      <c r="C33" s="63"/>
      <c r="D33" s="63"/>
      <c r="E33" s="63"/>
      <c r="F33" s="63"/>
      <c r="G33" s="63"/>
      <c r="H33" s="63"/>
      <c r="I33" s="63"/>
      <c r="J33" s="63"/>
      <c r="K33" s="65"/>
      <c r="L33" s="132"/>
    </row>
    <row r="34" spans="1:14">
      <c r="A34" s="129" t="s">
        <v>218</v>
      </c>
      <c r="B34" s="75"/>
      <c r="C34" s="75"/>
      <c r="D34" s="75"/>
      <c r="E34" s="76" t="s">
        <v>187</v>
      </c>
      <c r="F34" s="76" t="s">
        <v>73</v>
      </c>
      <c r="G34" s="76"/>
      <c r="H34" s="75"/>
      <c r="I34" s="75" t="s">
        <v>219</v>
      </c>
      <c r="J34" s="75"/>
      <c r="K34" s="75"/>
      <c r="L34" s="130" t="s">
        <v>189</v>
      </c>
    </row>
    <row r="35" spans="1:14">
      <c r="A35" s="115"/>
      <c r="B35" s="63"/>
      <c r="C35" s="63"/>
      <c r="D35" s="63"/>
      <c r="E35" s="63"/>
      <c r="F35" s="77"/>
      <c r="G35" s="86" t="s">
        <v>220</v>
      </c>
      <c r="H35" s="87" t="s">
        <v>221</v>
      </c>
      <c r="I35" s="88" t="s">
        <v>222</v>
      </c>
      <c r="J35" s="63"/>
      <c r="K35" s="63"/>
      <c r="L35" s="128"/>
    </row>
    <row r="36" spans="1:14">
      <c r="A36" s="131"/>
      <c r="B36" s="78"/>
      <c r="C36" s="63"/>
      <c r="D36" s="63"/>
      <c r="E36" s="63"/>
      <c r="F36" s="77"/>
      <c r="G36" s="118"/>
      <c r="H36" s="63"/>
      <c r="I36" s="74"/>
      <c r="J36" s="63"/>
      <c r="K36" s="63"/>
      <c r="L36" s="128"/>
    </row>
    <row r="37" spans="1:14">
      <c r="A37" s="115"/>
      <c r="B37" s="63"/>
      <c r="C37" s="63"/>
      <c r="D37" s="63"/>
      <c r="E37" s="63"/>
      <c r="F37" s="77"/>
      <c r="G37" s="118"/>
      <c r="H37" s="63"/>
      <c r="I37" s="74"/>
      <c r="J37" s="63"/>
      <c r="K37" s="63"/>
      <c r="L37" s="128"/>
    </row>
    <row r="38" spans="1:14">
      <c r="A38" s="115"/>
      <c r="B38" s="63"/>
      <c r="C38" s="63"/>
      <c r="D38" s="63"/>
      <c r="E38" s="63"/>
      <c r="F38" s="77"/>
      <c r="G38" s="118"/>
      <c r="H38" s="63"/>
      <c r="I38" s="74"/>
      <c r="J38" s="63"/>
      <c r="K38" s="63"/>
      <c r="L38" s="128"/>
    </row>
    <row r="39" spans="1:14" ht="15.75" thickBot="1">
      <c r="A39" s="115"/>
      <c r="B39" s="63"/>
      <c r="C39" s="63"/>
      <c r="D39" s="63"/>
      <c r="E39" s="63"/>
      <c r="F39" s="63"/>
      <c r="G39" s="63"/>
      <c r="H39" s="63"/>
      <c r="I39" s="63"/>
      <c r="J39" s="63"/>
      <c r="K39" s="65"/>
      <c r="L39" s="132"/>
    </row>
    <row r="40" spans="1:14" ht="15.75" thickTop="1">
      <c r="A40" s="133"/>
      <c r="B40" s="79"/>
      <c r="C40" s="79"/>
      <c r="D40" s="79"/>
      <c r="E40" s="79"/>
      <c r="F40" s="79"/>
      <c r="G40" s="79"/>
      <c r="H40" s="79"/>
      <c r="I40" s="79"/>
      <c r="J40" s="79"/>
      <c r="K40" s="80" t="s">
        <v>223</v>
      </c>
      <c r="L40" s="134">
        <f>L18</f>
        <v>0.52414215952251764</v>
      </c>
      <c r="N40" s="52"/>
    </row>
    <row r="41" spans="1:14">
      <c r="A41" s="115"/>
      <c r="B41" s="63"/>
      <c r="C41" s="63"/>
      <c r="D41" s="63"/>
      <c r="E41" s="63"/>
      <c r="F41" s="63"/>
      <c r="G41" s="63"/>
      <c r="H41" s="63"/>
      <c r="I41" s="63"/>
      <c r="J41" s="63"/>
      <c r="K41" s="65"/>
      <c r="L41" s="116"/>
      <c r="N41" s="53"/>
    </row>
    <row r="42" spans="1:14" ht="15.75" thickBot="1">
      <c r="A42" s="135"/>
      <c r="B42" s="136"/>
      <c r="C42" s="136"/>
      <c r="D42" s="136"/>
      <c r="E42" s="136"/>
      <c r="F42" s="136"/>
      <c r="G42" s="136"/>
      <c r="H42" s="136"/>
      <c r="I42" s="136"/>
      <c r="J42" s="136"/>
      <c r="K42" s="137"/>
      <c r="L42" s="138"/>
    </row>
    <row r="43" spans="1:14" ht="15.75" thickBot="1"/>
    <row r="44" spans="1:14" ht="20.25">
      <c r="A44" s="100" t="s">
        <v>181</v>
      </c>
      <c r="B44" s="101"/>
      <c r="C44" s="102"/>
      <c r="D44" s="102"/>
      <c r="E44" s="102"/>
      <c r="F44" s="102"/>
      <c r="G44" s="101" t="s">
        <v>182</v>
      </c>
      <c r="H44" s="101"/>
      <c r="I44" s="102"/>
      <c r="J44" s="102"/>
      <c r="K44" s="102"/>
      <c r="L44" s="103" t="s">
        <v>201</v>
      </c>
    </row>
    <row r="45" spans="1:14" ht="20.25">
      <c r="A45" s="104" t="s">
        <v>183</v>
      </c>
      <c r="B45" s="105"/>
      <c r="C45" s="105"/>
      <c r="D45" s="106" t="s">
        <v>200</v>
      </c>
      <c r="E45" s="105"/>
      <c r="F45" s="105"/>
      <c r="G45" s="107" t="s">
        <v>65</v>
      </c>
      <c r="H45" s="107"/>
      <c r="I45" s="105"/>
      <c r="J45" s="105"/>
      <c r="K45" s="105"/>
      <c r="L45" s="108"/>
    </row>
    <row r="46" spans="1:14" ht="27.75" customHeight="1" thickBot="1">
      <c r="A46" s="824" t="s">
        <v>224</v>
      </c>
      <c r="B46" s="825"/>
      <c r="C46" s="825"/>
      <c r="D46" s="55"/>
      <c r="E46" s="55"/>
      <c r="F46" s="55"/>
      <c r="G46" s="54"/>
      <c r="H46" s="56" t="s">
        <v>184</v>
      </c>
      <c r="I46" s="57">
        <v>1</v>
      </c>
      <c r="J46" s="58" t="s">
        <v>198</v>
      </c>
      <c r="K46" s="55"/>
      <c r="L46" s="110" t="s">
        <v>185</v>
      </c>
    </row>
    <row r="47" spans="1:14" ht="15.75" thickTop="1">
      <c r="A47" s="111"/>
      <c r="B47" s="59"/>
      <c r="C47" s="59"/>
      <c r="D47" s="59"/>
      <c r="E47" s="59"/>
      <c r="F47" s="59"/>
      <c r="G47" s="59"/>
      <c r="H47" s="59"/>
      <c r="I47" s="59"/>
      <c r="J47" s="59"/>
      <c r="K47" s="60"/>
      <c r="L47" s="112"/>
    </row>
    <row r="48" spans="1:14">
      <c r="A48" s="113" t="s">
        <v>202</v>
      </c>
      <c r="B48" s="61"/>
      <c r="C48" s="61"/>
      <c r="D48" s="61"/>
      <c r="E48" s="61"/>
      <c r="F48" s="62" t="s">
        <v>187</v>
      </c>
      <c r="G48" s="820" t="s">
        <v>193</v>
      </c>
      <c r="H48" s="820"/>
      <c r="I48" s="61" t="s">
        <v>204</v>
      </c>
      <c r="J48" s="61"/>
      <c r="K48" s="61"/>
      <c r="L48" s="114" t="s">
        <v>209</v>
      </c>
    </row>
    <row r="49" spans="1:18">
      <c r="A49" s="115"/>
      <c r="B49" s="63"/>
      <c r="C49" s="63"/>
      <c r="D49" s="63"/>
      <c r="E49" s="63"/>
      <c r="F49" s="63"/>
      <c r="G49" s="64" t="s">
        <v>194</v>
      </c>
      <c r="H49" s="64" t="s">
        <v>195</v>
      </c>
      <c r="I49" s="64" t="s">
        <v>205</v>
      </c>
      <c r="J49" s="64" t="s">
        <v>196</v>
      </c>
      <c r="K49" s="65"/>
      <c r="L49" s="116"/>
    </row>
    <row r="50" spans="1:18">
      <c r="A50" s="117"/>
      <c r="B50" s="67"/>
      <c r="C50" s="67"/>
      <c r="D50" s="92"/>
      <c r="E50" s="92"/>
      <c r="F50" s="118"/>
      <c r="G50" s="68"/>
      <c r="H50" s="92"/>
      <c r="I50" s="119"/>
      <c r="J50" s="92"/>
      <c r="K50" s="92"/>
      <c r="L50" s="120"/>
    </row>
    <row r="51" spans="1:18">
      <c r="A51" s="115"/>
      <c r="B51" s="63"/>
      <c r="C51" s="63"/>
      <c r="D51" s="63"/>
      <c r="E51" s="63"/>
      <c r="F51" s="63"/>
      <c r="G51" s="63"/>
      <c r="H51" s="63"/>
      <c r="I51" s="64" t="s">
        <v>210</v>
      </c>
      <c r="J51" s="64"/>
      <c r="K51" s="65"/>
      <c r="L51" s="124">
        <f>L50</f>
        <v>0</v>
      </c>
    </row>
    <row r="52" spans="1:18">
      <c r="A52" s="113" t="s">
        <v>208</v>
      </c>
      <c r="B52" s="61"/>
      <c r="C52" s="61"/>
      <c r="D52" s="61"/>
      <c r="E52" s="61"/>
      <c r="F52" s="62" t="s">
        <v>187</v>
      </c>
      <c r="G52" s="61" t="s">
        <v>73</v>
      </c>
      <c r="H52" s="61"/>
      <c r="I52" s="61" t="s">
        <v>214</v>
      </c>
      <c r="J52" s="61"/>
      <c r="K52" s="61"/>
      <c r="L52" s="114" t="s">
        <v>215</v>
      </c>
    </row>
    <row r="53" spans="1:18">
      <c r="A53" s="115" t="s">
        <v>226</v>
      </c>
      <c r="B53" s="63" t="s">
        <v>225</v>
      </c>
      <c r="C53" s="63"/>
      <c r="D53" s="89"/>
      <c r="E53" s="89"/>
      <c r="F53" s="91" t="s">
        <v>229</v>
      </c>
      <c r="G53" s="92" t="s">
        <v>231</v>
      </c>
      <c r="H53" s="89"/>
      <c r="I53" s="91" t="s">
        <v>232</v>
      </c>
      <c r="J53" s="89"/>
      <c r="K53" s="89"/>
      <c r="L53" s="139">
        <f>I53*F53</f>
        <v>1.722248</v>
      </c>
    </row>
    <row r="54" spans="1:18">
      <c r="A54" s="115" t="s">
        <v>227</v>
      </c>
      <c r="B54" s="63" t="s">
        <v>228</v>
      </c>
      <c r="C54" s="89"/>
      <c r="D54" s="89"/>
      <c r="E54" s="89"/>
      <c r="F54" s="91" t="s">
        <v>230</v>
      </c>
      <c r="G54" s="92" t="s">
        <v>231</v>
      </c>
      <c r="H54" s="89"/>
      <c r="I54" s="91" t="s">
        <v>233</v>
      </c>
      <c r="J54" s="89"/>
      <c r="K54" s="89"/>
      <c r="L54" s="139">
        <f>I54*F54</f>
        <v>18.517312</v>
      </c>
    </row>
    <row r="55" spans="1:18">
      <c r="A55" s="140"/>
      <c r="B55" s="89"/>
      <c r="C55" s="89"/>
      <c r="D55" s="89"/>
      <c r="E55" s="89"/>
      <c r="F55" s="90"/>
      <c r="G55" s="89"/>
      <c r="H55" s="89"/>
      <c r="I55" s="89"/>
      <c r="J55" s="89"/>
      <c r="K55" s="89"/>
      <c r="L55" s="141"/>
    </row>
    <row r="56" spans="1:18">
      <c r="A56" s="140"/>
      <c r="B56" s="89"/>
      <c r="C56" s="89"/>
      <c r="D56" s="89"/>
      <c r="E56" s="89"/>
      <c r="F56" s="90"/>
      <c r="G56" s="89"/>
      <c r="H56" s="89"/>
      <c r="I56" s="89"/>
      <c r="J56" s="89"/>
      <c r="K56" s="89"/>
      <c r="L56" s="141"/>
    </row>
    <row r="57" spans="1:18">
      <c r="A57" s="115"/>
      <c r="B57" s="63"/>
      <c r="C57" s="63"/>
      <c r="D57" s="63"/>
      <c r="E57" s="63"/>
      <c r="F57" s="63"/>
      <c r="G57" s="64"/>
      <c r="H57" s="64"/>
      <c r="I57" s="64" t="s">
        <v>211</v>
      </c>
      <c r="J57" s="64"/>
      <c r="K57" s="65"/>
      <c r="L57" s="123">
        <f>SUM(L53:L56)</f>
        <v>20.239560000000001</v>
      </c>
    </row>
    <row r="58" spans="1:18">
      <c r="A58" s="121"/>
      <c r="B58" s="83"/>
      <c r="C58" s="83"/>
      <c r="D58" s="82"/>
      <c r="E58" s="82"/>
      <c r="F58" s="84"/>
      <c r="G58" s="85"/>
      <c r="H58" s="82"/>
      <c r="I58" s="81" t="s">
        <v>212</v>
      </c>
      <c r="J58" s="82"/>
      <c r="K58" s="82"/>
      <c r="L58" s="142">
        <f>L57+L51</f>
        <v>20.239560000000001</v>
      </c>
    </row>
    <row r="59" spans="1:18">
      <c r="A59" s="115"/>
      <c r="B59" s="63"/>
      <c r="C59" s="63"/>
      <c r="D59" s="63"/>
      <c r="E59" s="63"/>
      <c r="F59" s="63"/>
      <c r="G59" s="63"/>
      <c r="H59" s="63"/>
      <c r="I59" s="64" t="s">
        <v>213</v>
      </c>
      <c r="J59" s="64"/>
      <c r="K59" s="65"/>
      <c r="L59" s="123">
        <f>L58/I46</f>
        <v>20.239560000000001</v>
      </c>
    </row>
    <row r="60" spans="1:18">
      <c r="A60" s="115"/>
      <c r="B60" s="63"/>
      <c r="C60" s="63"/>
      <c r="D60" s="63"/>
      <c r="E60" s="63"/>
      <c r="F60" s="63"/>
      <c r="G60" s="63"/>
      <c r="H60" s="63"/>
      <c r="I60" s="64" t="s">
        <v>216</v>
      </c>
      <c r="J60" s="64"/>
      <c r="K60" s="65"/>
      <c r="L60" s="124">
        <v>0</v>
      </c>
    </row>
    <row r="61" spans="1:18">
      <c r="A61" s="115"/>
      <c r="B61" s="63"/>
      <c r="C61" s="63"/>
      <c r="D61" s="63"/>
      <c r="E61" s="63"/>
      <c r="F61" s="63"/>
      <c r="G61" s="63"/>
      <c r="H61" s="63"/>
      <c r="I61" s="64" t="s">
        <v>217</v>
      </c>
      <c r="J61" s="64"/>
      <c r="K61" s="65"/>
      <c r="L61" s="124">
        <v>0</v>
      </c>
    </row>
    <row r="62" spans="1:18">
      <c r="A62" s="115"/>
      <c r="B62" s="63"/>
      <c r="C62" s="63"/>
      <c r="D62" s="63"/>
      <c r="E62" s="63"/>
      <c r="F62" s="63"/>
      <c r="G62" s="63"/>
      <c r="H62" s="63"/>
      <c r="I62" s="63"/>
      <c r="J62" s="63"/>
      <c r="K62" s="65"/>
      <c r="L62" s="116"/>
      <c r="R62" s="161" t="s">
        <v>242</v>
      </c>
    </row>
    <row r="63" spans="1:18">
      <c r="A63" s="125" t="s">
        <v>186</v>
      </c>
      <c r="B63" s="69"/>
      <c r="C63" s="69"/>
      <c r="D63" s="69"/>
      <c r="E63" s="69"/>
      <c r="F63" s="70" t="s">
        <v>187</v>
      </c>
      <c r="G63" s="70" t="s">
        <v>73</v>
      </c>
      <c r="H63" s="69"/>
      <c r="I63" s="69" t="s">
        <v>188</v>
      </c>
      <c r="J63" s="69"/>
      <c r="K63" s="69"/>
      <c r="L63" s="126" t="s">
        <v>189</v>
      </c>
      <c r="R63" s="161" t="s">
        <v>243</v>
      </c>
    </row>
    <row r="64" spans="1:18">
      <c r="A64" s="117" t="s">
        <v>234</v>
      </c>
      <c r="B64" s="67" t="s">
        <v>238</v>
      </c>
      <c r="C64" s="67"/>
      <c r="D64" s="92"/>
      <c r="E64" s="92"/>
      <c r="F64" s="118" t="s">
        <v>242</v>
      </c>
      <c r="G64" s="68" t="s">
        <v>112</v>
      </c>
      <c r="H64" s="92"/>
      <c r="I64" s="119" t="s">
        <v>246</v>
      </c>
      <c r="J64" s="92"/>
      <c r="K64" s="92"/>
      <c r="L64" s="143">
        <f>I64*F64</f>
        <v>23.209617684000001</v>
      </c>
    </row>
    <row r="65" spans="1:18">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c r="A66" s="117" t="s">
        <v>236</v>
      </c>
      <c r="B66" s="67" t="s">
        <v>240</v>
      </c>
      <c r="C66" s="67"/>
      <c r="D66" s="92"/>
      <c r="E66" s="92"/>
      <c r="F66" s="118" t="s">
        <v>244</v>
      </c>
      <c r="G66" s="68" t="s">
        <v>111</v>
      </c>
      <c r="H66" s="92"/>
      <c r="I66" s="119" t="s">
        <v>248</v>
      </c>
      <c r="J66" s="92"/>
      <c r="K66" s="92"/>
      <c r="L66" s="143">
        <f t="shared" si="0"/>
        <v>16.45</v>
      </c>
    </row>
    <row r="67" spans="1:18">
      <c r="A67" s="117" t="s">
        <v>237</v>
      </c>
      <c r="B67" s="67" t="s">
        <v>241</v>
      </c>
      <c r="C67" s="67"/>
      <c r="D67" s="92"/>
      <c r="E67" s="92"/>
      <c r="F67" s="118" t="s">
        <v>245</v>
      </c>
      <c r="G67" s="68" t="s">
        <v>198</v>
      </c>
      <c r="H67" s="92"/>
      <c r="I67" s="119" t="s">
        <v>249</v>
      </c>
      <c r="J67" s="92"/>
      <c r="K67" s="92"/>
      <c r="L67" s="143">
        <f t="shared" si="0"/>
        <v>18.549800000000001</v>
      </c>
    </row>
    <row r="68" spans="1:18">
      <c r="A68" s="117"/>
      <c r="B68" s="67"/>
      <c r="C68" s="67"/>
      <c r="D68" s="92"/>
      <c r="E68" s="92"/>
      <c r="F68" s="118"/>
      <c r="G68" s="68"/>
      <c r="H68" s="92"/>
      <c r="I68" s="119"/>
      <c r="J68" s="92"/>
      <c r="K68" s="92"/>
      <c r="L68" s="120"/>
    </row>
    <row r="69" spans="1:18">
      <c r="A69" s="115"/>
      <c r="B69" s="815"/>
      <c r="C69" s="815"/>
      <c r="D69" s="63"/>
      <c r="E69" s="63"/>
      <c r="F69" s="63"/>
      <c r="G69" s="63"/>
      <c r="H69" s="63"/>
      <c r="I69" s="63"/>
      <c r="J69" s="63"/>
      <c r="K69" s="65" t="s">
        <v>190</v>
      </c>
      <c r="L69" s="144">
        <f>TRUNC(SUM(L64:L68),2)</f>
        <v>80.88</v>
      </c>
    </row>
    <row r="70" spans="1:18">
      <c r="A70" s="145" t="s">
        <v>197</v>
      </c>
      <c r="B70" s="93"/>
      <c r="C70" s="93"/>
      <c r="D70" s="93"/>
      <c r="E70" s="93"/>
      <c r="F70" s="94" t="s">
        <v>187</v>
      </c>
      <c r="G70" s="94" t="s">
        <v>73</v>
      </c>
      <c r="H70" s="93"/>
      <c r="I70" s="93" t="s">
        <v>188</v>
      </c>
      <c r="J70" s="93"/>
      <c r="K70" s="93"/>
      <c r="L70" s="146" t="s">
        <v>189</v>
      </c>
    </row>
    <row r="71" spans="1:18">
      <c r="A71" s="147" t="s">
        <v>250</v>
      </c>
      <c r="B71" s="78"/>
      <c r="C71" s="63"/>
      <c r="D71" s="63"/>
      <c r="E71" s="63"/>
      <c r="F71" s="77">
        <v>0.6</v>
      </c>
      <c r="G71" s="68" t="s">
        <v>112</v>
      </c>
      <c r="H71" s="63"/>
      <c r="I71" s="74">
        <v>5.93</v>
      </c>
      <c r="J71" s="63"/>
      <c r="K71" s="63"/>
      <c r="L71" s="143">
        <f t="shared" ref="L71:L72" si="1">I71*F71</f>
        <v>3.5579999999999998</v>
      </c>
    </row>
    <row r="72" spans="1:18">
      <c r="A72" s="131" t="s">
        <v>251</v>
      </c>
      <c r="B72" s="78"/>
      <c r="C72" s="63"/>
      <c r="D72" s="63"/>
      <c r="E72" s="63"/>
      <c r="F72" s="77">
        <v>0.1</v>
      </c>
      <c r="G72" s="68" t="s">
        <v>112</v>
      </c>
      <c r="H72" s="63"/>
      <c r="I72" s="74">
        <v>27.14</v>
      </c>
      <c r="J72" s="63"/>
      <c r="K72" s="63"/>
      <c r="L72" s="143">
        <f t="shared" si="1"/>
        <v>2.7140000000000004</v>
      </c>
    </row>
    <row r="73" spans="1:18">
      <c r="A73" s="131"/>
      <c r="B73" s="78"/>
      <c r="C73" s="63"/>
      <c r="D73" s="63"/>
      <c r="E73" s="63"/>
      <c r="F73" s="77"/>
      <c r="G73" s="118"/>
      <c r="H73" s="63"/>
      <c r="I73" s="74"/>
      <c r="J73" s="63"/>
      <c r="K73" s="63"/>
      <c r="L73" s="128"/>
    </row>
    <row r="74" spans="1:18">
      <c r="A74" s="131"/>
      <c r="B74" s="78"/>
      <c r="C74" s="63"/>
      <c r="D74" s="63"/>
      <c r="E74" s="63"/>
      <c r="F74" s="77"/>
      <c r="G74" s="118"/>
      <c r="H74" s="63"/>
      <c r="I74" s="63"/>
      <c r="J74" s="63"/>
      <c r="K74" s="65" t="s">
        <v>252</v>
      </c>
      <c r="L74" s="148">
        <f>SUM(L71:L73)</f>
        <v>6.2720000000000002</v>
      </c>
    </row>
    <row r="75" spans="1:18">
      <c r="A75" s="129" t="s">
        <v>253</v>
      </c>
      <c r="B75" s="75"/>
      <c r="C75" s="75"/>
      <c r="D75" s="75"/>
      <c r="E75" s="75"/>
      <c r="F75" s="76" t="s">
        <v>71</v>
      </c>
      <c r="G75" s="94" t="s">
        <v>187</v>
      </c>
      <c r="H75" s="94" t="s">
        <v>73</v>
      </c>
      <c r="I75" s="93" t="s">
        <v>188</v>
      </c>
      <c r="J75" s="75"/>
      <c r="K75" s="75"/>
      <c r="L75" s="130" t="s">
        <v>189</v>
      </c>
    </row>
    <row r="76" spans="1:18">
      <c r="A76" s="117" t="s">
        <v>234</v>
      </c>
      <c r="B76" s="67" t="s">
        <v>238</v>
      </c>
      <c r="C76" s="67"/>
      <c r="D76" s="63"/>
      <c r="E76" s="63"/>
      <c r="F76" s="149">
        <v>5914647</v>
      </c>
      <c r="G76" s="118">
        <v>0.36910999999999999</v>
      </c>
      <c r="H76" s="78" t="s">
        <v>254</v>
      </c>
      <c r="I76" s="74">
        <v>1.01</v>
      </c>
      <c r="J76" s="63"/>
      <c r="K76" s="63"/>
      <c r="L76" s="143">
        <f>I76*G76</f>
        <v>0.3728011</v>
      </c>
    </row>
    <row r="77" spans="1:18">
      <c r="A77" s="117" t="s">
        <v>235</v>
      </c>
      <c r="B77" s="67" t="s">
        <v>239</v>
      </c>
      <c r="C77" s="67"/>
      <c r="D77" s="63"/>
      <c r="E77" s="63"/>
      <c r="F77" s="149">
        <v>5914647</v>
      </c>
      <c r="G77" s="118">
        <v>0.36912</v>
      </c>
      <c r="H77" s="78" t="s">
        <v>254</v>
      </c>
      <c r="I77" s="74">
        <v>1.01</v>
      </c>
      <c r="J77" s="63"/>
      <c r="K77" s="63"/>
      <c r="L77" s="143">
        <f t="shared" ref="L77:L79" si="2">I77*G77</f>
        <v>0.37281120000000001</v>
      </c>
    </row>
    <row r="78" spans="1:18">
      <c r="A78" s="117" t="s">
        <v>236</v>
      </c>
      <c r="B78" s="67" t="s">
        <v>240</v>
      </c>
      <c r="C78" s="67"/>
      <c r="D78" s="63"/>
      <c r="E78" s="63"/>
      <c r="F78" s="149">
        <v>5914655</v>
      </c>
      <c r="G78" s="118">
        <v>8.8000000000000003E-4</v>
      </c>
      <c r="H78" s="78" t="s">
        <v>254</v>
      </c>
      <c r="I78" s="74">
        <v>22.67</v>
      </c>
      <c r="J78" s="63"/>
      <c r="K78" s="63"/>
      <c r="L78" s="143">
        <f t="shared" si="2"/>
        <v>1.9949600000000001E-2</v>
      </c>
    </row>
    <row r="79" spans="1:18">
      <c r="A79" s="117" t="s">
        <v>237</v>
      </c>
      <c r="B79" s="67" t="s">
        <v>241</v>
      </c>
      <c r="C79" s="67"/>
      <c r="D79" s="63"/>
      <c r="E79" s="63"/>
      <c r="F79" s="149">
        <v>5914655</v>
      </c>
      <c r="G79" s="63">
        <v>1.7099999999999999E-3</v>
      </c>
      <c r="H79" s="78" t="s">
        <v>254</v>
      </c>
      <c r="I79" s="74">
        <v>22.67</v>
      </c>
      <c r="J79" s="63"/>
      <c r="K79" s="65"/>
      <c r="L79" s="143">
        <f t="shared" si="2"/>
        <v>3.87657E-2</v>
      </c>
    </row>
    <row r="80" spans="1:18">
      <c r="A80" s="117"/>
      <c r="B80" s="67"/>
      <c r="C80" s="67"/>
      <c r="D80" s="63"/>
      <c r="E80" s="63"/>
      <c r="F80" s="63"/>
      <c r="G80" s="63"/>
      <c r="H80" s="63"/>
      <c r="I80" s="63"/>
      <c r="J80" s="63"/>
      <c r="K80" s="65"/>
      <c r="L80" s="132"/>
    </row>
    <row r="81" spans="1:12">
      <c r="A81" s="117"/>
      <c r="B81" s="67"/>
      <c r="C81" s="67"/>
      <c r="D81" s="63"/>
      <c r="E81" s="63"/>
      <c r="F81" s="63"/>
      <c r="G81" s="63"/>
      <c r="H81" s="63"/>
      <c r="I81" s="63"/>
      <c r="J81" s="63"/>
      <c r="K81" s="65" t="s">
        <v>259</v>
      </c>
      <c r="L81" s="148">
        <f>SUM(L76:L80)</f>
        <v>0.80432760000000003</v>
      </c>
    </row>
    <row r="82" spans="1:12">
      <c r="A82" s="150" t="s">
        <v>218</v>
      </c>
      <c r="B82" s="98"/>
      <c r="C82" s="98"/>
      <c r="D82" s="98"/>
      <c r="E82" s="99" t="s">
        <v>187</v>
      </c>
      <c r="F82" s="99" t="s">
        <v>73</v>
      </c>
      <c r="G82" s="99"/>
      <c r="H82" s="98"/>
      <c r="I82" s="98" t="s">
        <v>219</v>
      </c>
      <c r="J82" s="98"/>
      <c r="K82" s="98"/>
      <c r="L82" s="151" t="s">
        <v>189</v>
      </c>
    </row>
    <row r="83" spans="1:12">
      <c r="A83" s="115"/>
      <c r="B83" s="63"/>
      <c r="C83" s="63"/>
      <c r="D83" s="63"/>
      <c r="E83" s="63"/>
      <c r="F83" s="77"/>
      <c r="G83" s="95" t="s">
        <v>220</v>
      </c>
      <c r="H83" s="96" t="s">
        <v>221</v>
      </c>
      <c r="I83" s="97" t="s">
        <v>222</v>
      </c>
      <c r="J83" s="63"/>
      <c r="K83" s="63"/>
      <c r="L83" s="128"/>
    </row>
    <row r="84" spans="1:12">
      <c r="A84" s="131"/>
      <c r="B84" s="78"/>
      <c r="C84" s="63"/>
      <c r="D84" s="63"/>
      <c r="E84" s="63"/>
      <c r="F84" s="77"/>
      <c r="G84" s="118"/>
      <c r="H84" s="63"/>
      <c r="I84" s="74"/>
      <c r="J84" s="63"/>
      <c r="K84" s="63"/>
      <c r="L84" s="128"/>
    </row>
    <row r="85" spans="1:12">
      <c r="A85" s="115" t="s">
        <v>255</v>
      </c>
      <c r="B85" s="63"/>
      <c r="C85" s="63"/>
      <c r="D85" s="63"/>
      <c r="E85" s="63">
        <v>0.36910999999999999</v>
      </c>
      <c r="F85" s="77" t="s">
        <v>203</v>
      </c>
      <c r="G85" s="149">
        <v>5914359</v>
      </c>
      <c r="H85" s="63">
        <v>5914374</v>
      </c>
      <c r="I85" s="63">
        <v>5914389</v>
      </c>
      <c r="J85" s="63"/>
      <c r="K85" s="63"/>
      <c r="L85" s="128"/>
    </row>
    <row r="86" spans="1:12">
      <c r="A86" s="115" t="s">
        <v>256</v>
      </c>
      <c r="B86" s="63"/>
      <c r="C86" s="63"/>
      <c r="D86" s="63"/>
      <c r="E86" s="63">
        <v>0.36912</v>
      </c>
      <c r="F86" s="77" t="s">
        <v>203</v>
      </c>
      <c r="G86" s="149">
        <v>5914359</v>
      </c>
      <c r="H86" s="63">
        <v>5914374</v>
      </c>
      <c r="I86" s="63">
        <v>5914389</v>
      </c>
      <c r="J86" s="63"/>
      <c r="K86" s="63"/>
      <c r="L86" s="128"/>
    </row>
    <row r="87" spans="1:12" ht="31.5" customHeight="1">
      <c r="A87" s="826" t="s">
        <v>257</v>
      </c>
      <c r="B87" s="827"/>
      <c r="C87" s="827"/>
      <c r="D87" s="63"/>
      <c r="E87" s="63">
        <v>8.8000000000000003E-4</v>
      </c>
      <c r="F87" s="77" t="s">
        <v>203</v>
      </c>
      <c r="G87" s="149">
        <v>5914449</v>
      </c>
      <c r="H87" s="63">
        <v>5914464</v>
      </c>
      <c r="I87" s="63">
        <v>5914479</v>
      </c>
      <c r="J87" s="63"/>
      <c r="K87" s="63"/>
      <c r="L87" s="128"/>
    </row>
    <row r="88" spans="1:12" ht="31.5" customHeight="1">
      <c r="A88" s="826" t="s">
        <v>258</v>
      </c>
      <c r="B88" s="827"/>
      <c r="C88" s="827"/>
      <c r="D88" s="63"/>
      <c r="E88" s="63">
        <v>1.7099999999999999E-3</v>
      </c>
      <c r="F88" s="77" t="s">
        <v>203</v>
      </c>
      <c r="G88" s="149">
        <v>5914449</v>
      </c>
      <c r="H88" s="63">
        <v>5914464</v>
      </c>
      <c r="I88" s="63">
        <v>5914479</v>
      </c>
      <c r="J88" s="63"/>
      <c r="K88" s="63"/>
      <c r="L88" s="128"/>
    </row>
    <row r="89" spans="1:12" ht="15.75" thickBot="1">
      <c r="A89" s="115"/>
      <c r="B89" s="63"/>
      <c r="C89" s="63"/>
      <c r="D89" s="63"/>
      <c r="E89" s="63"/>
      <c r="F89" s="77"/>
      <c r="G89" s="118"/>
      <c r="H89" s="63"/>
      <c r="I89" s="74"/>
      <c r="J89" s="63"/>
      <c r="K89" s="63"/>
      <c r="L89" s="128"/>
    </row>
    <row r="90" spans="1:12" ht="15.75" thickTop="1">
      <c r="A90" s="133"/>
      <c r="B90" s="79"/>
      <c r="C90" s="79"/>
      <c r="D90" s="79"/>
      <c r="E90" s="79"/>
      <c r="F90" s="79"/>
      <c r="G90" s="79"/>
      <c r="H90" s="79"/>
      <c r="I90" s="79"/>
      <c r="J90" s="79"/>
      <c r="K90" s="80" t="s">
        <v>223</v>
      </c>
      <c r="L90" s="134">
        <f>SUM(L81,L74,L69,L57)</f>
        <v>108.19588759999999</v>
      </c>
    </row>
    <row r="91" spans="1:12">
      <c r="A91" s="115"/>
      <c r="B91" s="63"/>
      <c r="C91" s="63"/>
      <c r="D91" s="63"/>
      <c r="E91" s="63"/>
      <c r="F91" s="63"/>
      <c r="G91" s="63"/>
      <c r="H91" s="63"/>
      <c r="I91" s="63"/>
      <c r="J91" s="63"/>
      <c r="K91" s="65"/>
      <c r="L91" s="116"/>
    </row>
    <row r="92" spans="1:12" ht="15.75" thickBot="1">
      <c r="A92" s="135"/>
      <c r="B92" s="136"/>
      <c r="C92" s="136"/>
      <c r="D92" s="136"/>
      <c r="E92" s="136"/>
      <c r="F92" s="136"/>
      <c r="G92" s="136"/>
      <c r="H92" s="136"/>
      <c r="I92" s="136"/>
      <c r="J92" s="136"/>
      <c r="K92" s="137"/>
      <c r="L92" s="138"/>
    </row>
    <row r="93" spans="1:12" ht="15.75" thickBot="1"/>
    <row r="94" spans="1:12" ht="20.25">
      <c r="A94" s="100" t="s">
        <v>181</v>
      </c>
      <c r="B94" s="101"/>
      <c r="C94" s="102"/>
      <c r="D94" s="102"/>
      <c r="E94" s="102"/>
      <c r="F94" s="102"/>
      <c r="G94" s="101" t="s">
        <v>182</v>
      </c>
      <c r="H94" s="101"/>
      <c r="I94" s="102"/>
      <c r="J94" s="102"/>
      <c r="K94" s="102"/>
      <c r="L94" s="103" t="s">
        <v>201</v>
      </c>
    </row>
    <row r="95" spans="1:12" ht="20.25">
      <c r="A95" s="104" t="s">
        <v>183</v>
      </c>
      <c r="B95" s="105"/>
      <c r="C95" s="105"/>
      <c r="D95" s="106" t="s">
        <v>200</v>
      </c>
      <c r="E95" s="105"/>
      <c r="F95" s="105"/>
      <c r="G95" s="107" t="s">
        <v>65</v>
      </c>
      <c r="H95" s="107"/>
      <c r="I95" s="105"/>
      <c r="J95" s="105"/>
      <c r="K95" s="105"/>
      <c r="L95" s="108"/>
    </row>
    <row r="96" spans="1:12" ht="28.5" customHeight="1" thickBot="1">
      <c r="A96" s="822" t="s">
        <v>269</v>
      </c>
      <c r="B96" s="823"/>
      <c r="C96" s="823"/>
      <c r="D96" s="823"/>
      <c r="E96" s="823"/>
      <c r="F96" s="823"/>
      <c r="G96" s="54"/>
      <c r="H96" s="56" t="s">
        <v>184</v>
      </c>
      <c r="I96" s="57">
        <v>224.1</v>
      </c>
      <c r="J96" s="58" t="s">
        <v>203</v>
      </c>
      <c r="K96" s="55"/>
      <c r="L96" s="110" t="s">
        <v>185</v>
      </c>
    </row>
    <row r="97" spans="1:12" ht="15.75" thickTop="1">
      <c r="A97" s="111"/>
      <c r="B97" s="59"/>
      <c r="C97" s="59"/>
      <c r="D97" s="59"/>
      <c r="E97" s="59"/>
      <c r="F97" s="59"/>
      <c r="G97" s="59"/>
      <c r="H97" s="59"/>
      <c r="I97" s="59"/>
      <c r="J97" s="59"/>
      <c r="K97" s="60"/>
      <c r="L97" s="112"/>
    </row>
    <row r="98" spans="1:12">
      <c r="A98" s="113" t="s">
        <v>202</v>
      </c>
      <c r="B98" s="61"/>
      <c r="C98" s="61"/>
      <c r="D98" s="61"/>
      <c r="E98" s="61"/>
      <c r="F98" s="62" t="s">
        <v>187</v>
      </c>
      <c r="G98" s="820" t="s">
        <v>193</v>
      </c>
      <c r="H98" s="820"/>
      <c r="I98" s="61" t="s">
        <v>204</v>
      </c>
      <c r="J98" s="61"/>
      <c r="K98" s="61"/>
      <c r="L98" s="114" t="s">
        <v>209</v>
      </c>
    </row>
    <row r="99" spans="1:12">
      <c r="A99" s="115"/>
      <c r="B99" s="63"/>
      <c r="C99" s="63"/>
      <c r="D99" s="63"/>
      <c r="E99" s="63"/>
      <c r="F99" s="63"/>
      <c r="G99" s="64" t="s">
        <v>194</v>
      </c>
      <c r="H99" s="64" t="s">
        <v>195</v>
      </c>
      <c r="I99" s="64" t="s">
        <v>205</v>
      </c>
      <c r="J99" s="64" t="s">
        <v>196</v>
      </c>
      <c r="K99" s="65"/>
      <c r="L99" s="116"/>
    </row>
    <row r="100" spans="1:12">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c r="A101" s="117"/>
      <c r="B101" s="67"/>
      <c r="C101" s="67"/>
      <c r="D101" s="92"/>
      <c r="E101" s="92"/>
      <c r="F101" s="118"/>
      <c r="G101" s="68"/>
      <c r="H101" s="92"/>
      <c r="I101" s="119"/>
      <c r="J101" s="92"/>
      <c r="K101" s="92"/>
      <c r="L101" s="120"/>
    </row>
    <row r="102" spans="1:12">
      <c r="A102" s="117"/>
      <c r="B102" s="67"/>
      <c r="C102" s="67"/>
      <c r="D102" s="92"/>
      <c r="E102" s="92"/>
      <c r="F102" s="118"/>
      <c r="G102" s="68"/>
      <c r="H102" s="92"/>
      <c r="I102" s="119"/>
      <c r="J102" s="92"/>
      <c r="K102" s="92"/>
      <c r="L102" s="120"/>
    </row>
    <row r="103" spans="1:12">
      <c r="A103" s="117"/>
      <c r="B103" s="67"/>
      <c r="C103" s="67"/>
      <c r="D103" s="92"/>
      <c r="E103" s="92"/>
      <c r="F103" s="118"/>
      <c r="G103" s="68"/>
      <c r="H103" s="92"/>
      <c r="I103" s="119"/>
      <c r="J103" s="92"/>
      <c r="K103" s="92"/>
      <c r="L103" s="120"/>
    </row>
    <row r="104" spans="1:12">
      <c r="A104" s="117"/>
      <c r="B104" s="67"/>
      <c r="C104" s="67"/>
      <c r="D104" s="92"/>
      <c r="E104" s="92"/>
      <c r="F104" s="118"/>
      <c r="G104" s="68"/>
      <c r="H104" s="92"/>
      <c r="I104" s="119"/>
      <c r="J104" s="92"/>
      <c r="K104" s="92"/>
      <c r="L104" s="120"/>
    </row>
    <row r="105" spans="1:12">
      <c r="A105" s="117"/>
      <c r="B105" s="67"/>
      <c r="C105" s="67"/>
      <c r="D105" s="92"/>
      <c r="E105" s="92"/>
      <c r="F105" s="118"/>
      <c r="G105" s="68"/>
      <c r="H105" s="92"/>
      <c r="I105" s="119"/>
      <c r="J105" s="92"/>
      <c r="K105" s="92"/>
      <c r="L105" s="120"/>
    </row>
    <row r="106" spans="1:12">
      <c r="A106" s="115"/>
      <c r="B106" s="63"/>
      <c r="C106" s="63"/>
      <c r="D106" s="63"/>
      <c r="E106" s="63"/>
      <c r="F106" s="63"/>
      <c r="G106" s="63"/>
      <c r="H106" s="63"/>
      <c r="I106" s="64" t="s">
        <v>210</v>
      </c>
      <c r="J106" s="64"/>
      <c r="K106" s="65"/>
      <c r="L106" s="116">
        <f>L100</f>
        <v>139.09039999999999</v>
      </c>
    </row>
    <row r="107" spans="1:12">
      <c r="A107" s="113" t="s">
        <v>208</v>
      </c>
      <c r="B107" s="61"/>
      <c r="C107" s="61"/>
      <c r="D107" s="61"/>
      <c r="E107" s="61"/>
      <c r="F107" s="62" t="s">
        <v>187</v>
      </c>
      <c r="G107" s="61" t="s">
        <v>73</v>
      </c>
      <c r="H107" s="61"/>
      <c r="I107" s="61" t="s">
        <v>214</v>
      </c>
      <c r="J107" s="61"/>
      <c r="K107" s="61"/>
      <c r="L107" s="114" t="s">
        <v>215</v>
      </c>
    </row>
    <row r="108" spans="1:12">
      <c r="A108" s="115"/>
      <c r="B108" s="63"/>
      <c r="C108" s="63"/>
      <c r="D108" s="63"/>
      <c r="E108" s="63"/>
      <c r="F108" s="63"/>
      <c r="G108" s="64"/>
      <c r="H108" s="64"/>
      <c r="I108" s="64" t="s">
        <v>211</v>
      </c>
      <c r="J108" s="64"/>
      <c r="K108" s="65"/>
      <c r="L108" s="116"/>
    </row>
    <row r="109" spans="1:12">
      <c r="A109" s="121"/>
      <c r="B109" s="83"/>
      <c r="C109" s="83"/>
      <c r="D109" s="82"/>
      <c r="E109" s="82"/>
      <c r="F109" s="84"/>
      <c r="G109" s="85"/>
      <c r="H109" s="82"/>
      <c r="I109" s="81" t="s">
        <v>212</v>
      </c>
      <c r="J109" s="82"/>
      <c r="K109" s="82"/>
      <c r="L109" s="122">
        <f>L108+L106</f>
        <v>139.09039999999999</v>
      </c>
    </row>
    <row r="110" spans="1:12">
      <c r="A110" s="115"/>
      <c r="B110" s="63"/>
      <c r="C110" s="63"/>
      <c r="D110" s="63"/>
      <c r="E110" s="63"/>
      <c r="F110" s="63"/>
      <c r="G110" s="63"/>
      <c r="H110" s="63"/>
      <c r="I110" s="64" t="s">
        <v>213</v>
      </c>
      <c r="J110" s="64"/>
      <c r="K110" s="65"/>
      <c r="L110" s="123">
        <f>L109/I96</f>
        <v>0.62066220437304775</v>
      </c>
    </row>
    <row r="111" spans="1:12">
      <c r="A111" s="115"/>
      <c r="B111" s="63"/>
      <c r="C111" s="63"/>
      <c r="D111" s="63"/>
      <c r="E111" s="63"/>
      <c r="F111" s="63"/>
      <c r="G111" s="63"/>
      <c r="H111" s="63"/>
      <c r="I111" s="64" t="s">
        <v>216</v>
      </c>
      <c r="J111" s="64"/>
      <c r="K111" s="65"/>
      <c r="L111" s="124">
        <v>0</v>
      </c>
    </row>
    <row r="112" spans="1:12">
      <c r="A112" s="115"/>
      <c r="B112" s="63"/>
      <c r="C112" s="63"/>
      <c r="D112" s="63"/>
      <c r="E112" s="63"/>
      <c r="F112" s="63"/>
      <c r="G112" s="63"/>
      <c r="H112" s="63"/>
      <c r="I112" s="64" t="s">
        <v>217</v>
      </c>
      <c r="J112" s="64"/>
      <c r="K112" s="65"/>
      <c r="L112" s="124">
        <v>0</v>
      </c>
    </row>
    <row r="113" spans="1:12">
      <c r="A113" s="115"/>
      <c r="B113" s="63"/>
      <c r="C113" s="63"/>
      <c r="D113" s="63"/>
      <c r="E113" s="63"/>
      <c r="F113" s="63"/>
      <c r="G113" s="63"/>
      <c r="H113" s="63"/>
      <c r="I113" s="64"/>
      <c r="J113" s="64"/>
      <c r="K113" s="65"/>
      <c r="L113" s="116"/>
    </row>
    <row r="114" spans="1:12">
      <c r="A114" s="115"/>
      <c r="B114" s="63"/>
      <c r="C114" s="63"/>
      <c r="D114" s="63"/>
      <c r="E114" s="63"/>
      <c r="F114" s="63"/>
      <c r="G114" s="63"/>
      <c r="H114" s="63"/>
      <c r="I114" s="64"/>
      <c r="J114" s="64"/>
      <c r="K114" s="65"/>
      <c r="L114" s="116"/>
    </row>
    <row r="115" spans="1:12">
      <c r="A115" s="115"/>
      <c r="B115" s="63"/>
      <c r="C115" s="63"/>
      <c r="D115" s="63"/>
      <c r="E115" s="63"/>
      <c r="F115" s="63"/>
      <c r="G115" s="63"/>
      <c r="H115" s="63"/>
      <c r="I115" s="63"/>
      <c r="J115" s="63"/>
      <c r="K115" s="65"/>
      <c r="L115" s="116"/>
    </row>
    <row r="116" spans="1:12">
      <c r="A116" s="125" t="s">
        <v>186</v>
      </c>
      <c r="B116" s="69"/>
      <c r="C116" s="69"/>
      <c r="D116" s="69"/>
      <c r="E116" s="69"/>
      <c r="F116" s="70" t="s">
        <v>187</v>
      </c>
      <c r="G116" s="70" t="s">
        <v>73</v>
      </c>
      <c r="H116" s="69"/>
      <c r="I116" s="69" t="s">
        <v>188</v>
      </c>
      <c r="J116" s="69"/>
      <c r="K116" s="69"/>
      <c r="L116" s="126" t="s">
        <v>189</v>
      </c>
    </row>
    <row r="117" spans="1:12">
      <c r="A117" s="117"/>
      <c r="B117" s="67"/>
      <c r="C117" s="67"/>
      <c r="D117" s="92"/>
      <c r="E117" s="92"/>
      <c r="F117" s="118"/>
      <c r="G117" s="68"/>
      <c r="H117" s="92"/>
      <c r="I117" s="119"/>
      <c r="J117" s="92"/>
      <c r="K117" s="92"/>
      <c r="L117" s="120"/>
    </row>
    <row r="118" spans="1:12">
      <c r="A118" s="127"/>
      <c r="B118" s="67"/>
      <c r="C118" s="67"/>
      <c r="D118" s="92"/>
      <c r="E118" s="92"/>
      <c r="F118" s="118"/>
      <c r="G118" s="68"/>
      <c r="H118" s="92"/>
      <c r="I118" s="119"/>
      <c r="J118" s="92"/>
      <c r="K118" s="92"/>
      <c r="L118" s="120"/>
    </row>
    <row r="119" spans="1:12">
      <c r="A119" s="117"/>
      <c r="B119" s="67"/>
      <c r="C119" s="67"/>
      <c r="D119" s="92"/>
      <c r="E119" s="92"/>
      <c r="F119" s="71"/>
      <c r="G119" s="72"/>
      <c r="H119" s="92"/>
      <c r="I119" s="73"/>
      <c r="J119" s="92"/>
      <c r="K119" s="92"/>
      <c r="L119" s="128"/>
    </row>
    <row r="120" spans="1:12">
      <c r="A120" s="115"/>
      <c r="B120" s="821"/>
      <c r="C120" s="821"/>
      <c r="D120" s="63"/>
      <c r="E120" s="63"/>
      <c r="F120" s="63"/>
      <c r="G120" s="63"/>
      <c r="H120" s="63"/>
      <c r="I120" s="63"/>
      <c r="J120" s="63"/>
      <c r="K120" s="65" t="s">
        <v>190</v>
      </c>
      <c r="L120" s="124">
        <f>TRUNC(SUM(L117:L118),2)</f>
        <v>0</v>
      </c>
    </row>
    <row r="121" spans="1:12">
      <c r="A121" s="129" t="s">
        <v>191</v>
      </c>
      <c r="B121" s="75"/>
      <c r="C121" s="75"/>
      <c r="D121" s="75"/>
      <c r="E121" s="75"/>
      <c r="F121" s="76"/>
      <c r="G121" s="76" t="s">
        <v>192</v>
      </c>
      <c r="H121" s="75"/>
      <c r="I121" s="75"/>
      <c r="J121" s="75"/>
      <c r="K121" s="75"/>
      <c r="L121" s="130" t="s">
        <v>189</v>
      </c>
    </row>
    <row r="122" spans="1:12">
      <c r="A122" s="115"/>
      <c r="B122" s="63"/>
      <c r="C122" s="63"/>
      <c r="D122" s="63"/>
      <c r="E122" s="63"/>
      <c r="F122" s="77"/>
      <c r="G122" s="118"/>
      <c r="H122" s="63"/>
      <c r="I122" s="74"/>
      <c r="J122" s="63"/>
      <c r="K122" s="63"/>
      <c r="L122" s="128"/>
    </row>
    <row r="123" spans="1:12">
      <c r="A123" s="131"/>
      <c r="B123" s="78"/>
      <c r="C123" s="63"/>
      <c r="D123" s="63"/>
      <c r="E123" s="63"/>
      <c r="F123" s="77"/>
      <c r="G123" s="118"/>
      <c r="H123" s="63"/>
      <c r="I123" s="74"/>
      <c r="J123" s="63"/>
      <c r="K123" s="63"/>
      <c r="L123" s="128"/>
    </row>
    <row r="124" spans="1:12">
      <c r="A124" s="115"/>
      <c r="B124" s="63"/>
      <c r="C124" s="63"/>
      <c r="D124" s="63"/>
      <c r="E124" s="63"/>
      <c r="F124" s="77"/>
      <c r="G124" s="118"/>
      <c r="H124" s="63"/>
      <c r="I124" s="74"/>
      <c r="J124" s="63"/>
      <c r="K124" s="63"/>
      <c r="L124" s="128"/>
    </row>
    <row r="125" spans="1:12">
      <c r="A125" s="115"/>
      <c r="B125" s="63"/>
      <c r="C125" s="63"/>
      <c r="D125" s="63"/>
      <c r="E125" s="63"/>
      <c r="F125" s="63"/>
      <c r="G125" s="63"/>
      <c r="H125" s="63"/>
      <c r="I125" s="63"/>
      <c r="J125" s="63"/>
      <c r="K125" s="65"/>
      <c r="L125" s="132"/>
    </row>
    <row r="126" spans="1:12">
      <c r="A126" s="129" t="s">
        <v>218</v>
      </c>
      <c r="B126" s="75"/>
      <c r="C126" s="75"/>
      <c r="D126" s="75"/>
      <c r="E126" s="76" t="s">
        <v>187</v>
      </c>
      <c r="F126" s="76" t="s">
        <v>73</v>
      </c>
      <c r="G126" s="76"/>
      <c r="H126" s="75"/>
      <c r="I126" s="75" t="s">
        <v>219</v>
      </c>
      <c r="J126" s="75"/>
      <c r="K126" s="75"/>
      <c r="L126" s="130" t="s">
        <v>189</v>
      </c>
    </row>
    <row r="127" spans="1:12">
      <c r="A127" s="115"/>
      <c r="B127" s="63"/>
      <c r="C127" s="63"/>
      <c r="D127" s="63"/>
      <c r="E127" s="63"/>
      <c r="F127" s="77"/>
      <c r="G127" s="86" t="s">
        <v>220</v>
      </c>
      <c r="H127" s="87" t="s">
        <v>221</v>
      </c>
      <c r="I127" s="88" t="s">
        <v>222</v>
      </c>
      <c r="J127" s="63"/>
      <c r="K127" s="63"/>
      <c r="L127" s="128"/>
    </row>
    <row r="128" spans="1:12">
      <c r="A128" s="131"/>
      <c r="B128" s="78"/>
      <c r="C128" s="63"/>
      <c r="D128" s="63"/>
      <c r="E128" s="63"/>
      <c r="F128" s="77"/>
      <c r="G128" s="118"/>
      <c r="H128" s="63"/>
      <c r="I128" s="74"/>
      <c r="J128" s="63"/>
      <c r="K128" s="63"/>
      <c r="L128" s="128"/>
    </row>
    <row r="129" spans="1:12">
      <c r="A129" s="115"/>
      <c r="B129" s="63"/>
      <c r="C129" s="63"/>
      <c r="D129" s="63"/>
      <c r="E129" s="63"/>
      <c r="F129" s="77"/>
      <c r="G129" s="118"/>
      <c r="H129" s="63"/>
      <c r="I129" s="74"/>
      <c r="J129" s="63"/>
      <c r="K129" s="63"/>
      <c r="L129" s="128"/>
    </row>
    <row r="130" spans="1:12">
      <c r="A130" s="115"/>
      <c r="B130" s="63"/>
      <c r="C130" s="63"/>
      <c r="D130" s="63"/>
      <c r="E130" s="63"/>
      <c r="F130" s="77"/>
      <c r="G130" s="118"/>
      <c r="H130" s="63"/>
      <c r="I130" s="74"/>
      <c r="J130" s="63"/>
      <c r="K130" s="63"/>
      <c r="L130" s="128"/>
    </row>
    <row r="131" spans="1:12" ht="15.75" thickBot="1">
      <c r="A131" s="115"/>
      <c r="B131" s="63"/>
      <c r="C131" s="63"/>
      <c r="D131" s="63"/>
      <c r="E131" s="63"/>
      <c r="F131" s="63"/>
      <c r="G131" s="63"/>
      <c r="H131" s="63"/>
      <c r="I131" s="63"/>
      <c r="J131" s="63"/>
      <c r="K131" s="65"/>
      <c r="L131" s="132"/>
    </row>
    <row r="132" spans="1:12" ht="15.75" thickTop="1">
      <c r="A132" s="133"/>
      <c r="B132" s="79"/>
      <c r="C132" s="79"/>
      <c r="D132" s="79"/>
      <c r="E132" s="79"/>
      <c r="F132" s="79"/>
      <c r="G132" s="79"/>
      <c r="H132" s="79"/>
      <c r="I132" s="79"/>
      <c r="J132" s="79"/>
      <c r="K132" s="80" t="s">
        <v>223</v>
      </c>
      <c r="L132" s="134">
        <f>L110</f>
        <v>0.62066220437304775</v>
      </c>
    </row>
    <row r="133" spans="1:12" ht="15.75" thickBot="1"/>
    <row r="134" spans="1:12" ht="20.25">
      <c r="A134" s="100" t="s">
        <v>181</v>
      </c>
      <c r="B134" s="101"/>
      <c r="C134" s="102"/>
      <c r="D134" s="102"/>
      <c r="E134" s="102"/>
      <c r="F134" s="102"/>
      <c r="G134" s="101" t="s">
        <v>182</v>
      </c>
      <c r="H134" s="101"/>
      <c r="I134" s="102"/>
      <c r="J134" s="154"/>
      <c r="K134" s="102"/>
      <c r="L134" s="103" t="s">
        <v>201</v>
      </c>
    </row>
    <row r="135" spans="1:12" ht="20.25">
      <c r="A135" s="104" t="s">
        <v>183</v>
      </c>
      <c r="B135" s="105"/>
      <c r="C135" s="105"/>
      <c r="D135" s="106" t="s">
        <v>200</v>
      </c>
      <c r="E135" s="105"/>
      <c r="F135" s="105"/>
      <c r="G135" s="107" t="s">
        <v>65</v>
      </c>
      <c r="H135" s="107"/>
      <c r="I135" s="155" t="s">
        <v>274</v>
      </c>
      <c r="J135" s="105"/>
      <c r="K135" s="105"/>
      <c r="L135" s="108"/>
    </row>
    <row r="136" spans="1:12" ht="15.75" thickBot="1">
      <c r="A136" s="824" t="s">
        <v>273</v>
      </c>
      <c r="B136" s="825"/>
      <c r="C136" s="825"/>
      <c r="D136" s="55"/>
      <c r="E136" s="55"/>
      <c r="F136" s="55"/>
      <c r="G136" s="54"/>
      <c r="H136" s="56" t="s">
        <v>184</v>
      </c>
      <c r="I136" s="153">
        <v>0.56000000000000005</v>
      </c>
      <c r="J136" s="58" t="s">
        <v>112</v>
      </c>
      <c r="K136" s="55"/>
      <c r="L136" s="110" t="s">
        <v>185</v>
      </c>
    </row>
    <row r="137" spans="1:12" ht="15.75" thickTop="1">
      <c r="A137" s="111"/>
      <c r="B137" s="59"/>
      <c r="C137" s="59"/>
      <c r="D137" s="59"/>
      <c r="E137" s="59"/>
      <c r="F137" s="59"/>
      <c r="G137" s="59"/>
      <c r="H137" s="59"/>
      <c r="I137" s="59"/>
      <c r="J137" s="59"/>
      <c r="K137" s="60"/>
      <c r="L137" s="112"/>
    </row>
    <row r="138" spans="1:12">
      <c r="A138" s="113" t="s">
        <v>202</v>
      </c>
      <c r="B138" s="61"/>
      <c r="C138" s="61"/>
      <c r="D138" s="61"/>
      <c r="E138" s="61"/>
      <c r="F138" s="62" t="s">
        <v>187</v>
      </c>
      <c r="G138" s="820" t="s">
        <v>193</v>
      </c>
      <c r="H138" s="820"/>
      <c r="I138" s="61" t="s">
        <v>204</v>
      </c>
      <c r="J138" s="61"/>
      <c r="K138" s="61"/>
      <c r="L138" s="114" t="s">
        <v>209</v>
      </c>
    </row>
    <row r="139" spans="1:12">
      <c r="A139" s="115"/>
      <c r="B139" s="63"/>
      <c r="C139" s="63"/>
      <c r="D139" s="63"/>
      <c r="E139" s="63"/>
      <c r="F139" s="63"/>
      <c r="G139" s="64" t="s">
        <v>194</v>
      </c>
      <c r="H139" s="64" t="s">
        <v>195</v>
      </c>
      <c r="I139" s="64" t="s">
        <v>205</v>
      </c>
      <c r="J139" s="64" t="s">
        <v>196</v>
      </c>
      <c r="K139" s="65"/>
      <c r="L139" s="116"/>
    </row>
    <row r="140" spans="1:12">
      <c r="A140" s="115" t="s">
        <v>275</v>
      </c>
      <c r="B140" s="63" t="s">
        <v>277</v>
      </c>
      <c r="C140" s="63"/>
      <c r="D140" s="63"/>
      <c r="E140" s="63"/>
      <c r="F140" s="118">
        <v>1</v>
      </c>
      <c r="G140" s="118">
        <v>0.25</v>
      </c>
      <c r="H140" s="118">
        <v>0.75</v>
      </c>
      <c r="I140" s="118">
        <v>4.5951000000000004</v>
      </c>
      <c r="J140" s="118">
        <v>1.4352</v>
      </c>
      <c r="K140" s="118"/>
      <c r="L140" s="118">
        <v>2.2252000000000001</v>
      </c>
    </row>
    <row r="141" spans="1:12">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c r="A142" s="115"/>
      <c r="B142" s="63"/>
      <c r="C142" s="63"/>
      <c r="D142" s="63"/>
      <c r="E142" s="63"/>
      <c r="F142" s="63"/>
      <c r="G142" s="63"/>
      <c r="H142" s="63"/>
      <c r="I142" s="64" t="s">
        <v>210</v>
      </c>
      <c r="J142" s="64"/>
      <c r="K142" s="65"/>
      <c r="L142" s="148">
        <f>SUM(L140:L141)</f>
        <v>4.0269000000000004</v>
      </c>
    </row>
    <row r="143" spans="1:12">
      <c r="A143" s="113" t="s">
        <v>208</v>
      </c>
      <c r="B143" s="61"/>
      <c r="C143" s="61"/>
      <c r="D143" s="61"/>
      <c r="E143" s="61"/>
      <c r="F143" s="62" t="s">
        <v>187</v>
      </c>
      <c r="G143" s="61" t="s">
        <v>73</v>
      </c>
      <c r="H143" s="61"/>
      <c r="I143" s="61" t="s">
        <v>214</v>
      </c>
      <c r="J143" s="61"/>
      <c r="K143" s="61"/>
      <c r="L143" s="114" t="s">
        <v>215</v>
      </c>
    </row>
    <row r="144" spans="1:12">
      <c r="A144" s="115" t="s">
        <v>227</v>
      </c>
      <c r="B144" s="63" t="s">
        <v>228</v>
      </c>
      <c r="C144" s="89"/>
      <c r="D144" s="89"/>
      <c r="E144" s="89"/>
      <c r="F144" s="118">
        <v>6</v>
      </c>
      <c r="G144" s="92" t="s">
        <v>231</v>
      </c>
      <c r="H144" s="89"/>
      <c r="I144" s="91" t="s">
        <v>233</v>
      </c>
      <c r="J144" s="89"/>
      <c r="K144" s="89"/>
      <c r="L144" s="139">
        <f>I144*F144</f>
        <v>95.779200000000003</v>
      </c>
    </row>
    <row r="145" spans="1:14">
      <c r="A145" s="140"/>
      <c r="B145" s="89"/>
      <c r="C145" s="89"/>
      <c r="D145" s="89"/>
      <c r="E145" s="89"/>
      <c r="F145" s="90"/>
      <c r="G145" s="89"/>
      <c r="H145" s="89"/>
      <c r="I145" s="89"/>
      <c r="J145" s="89"/>
      <c r="K145" s="89"/>
      <c r="L145" s="141"/>
    </row>
    <row r="146" spans="1:14">
      <c r="A146" s="140"/>
      <c r="B146" s="89"/>
      <c r="C146" s="89"/>
      <c r="D146" s="89"/>
      <c r="E146" s="89"/>
      <c r="F146" s="90"/>
      <c r="G146" s="89"/>
      <c r="H146" s="89"/>
      <c r="I146" s="89"/>
      <c r="J146" s="89"/>
      <c r="K146" s="89"/>
      <c r="L146" s="141"/>
    </row>
    <row r="147" spans="1:14">
      <c r="A147" s="115"/>
      <c r="B147" s="63"/>
      <c r="C147" s="63"/>
      <c r="D147" s="63"/>
      <c r="E147" s="63"/>
      <c r="F147" s="63"/>
      <c r="G147" s="64"/>
      <c r="H147" s="64"/>
      <c r="I147" s="64" t="s">
        <v>211</v>
      </c>
      <c r="J147" s="64"/>
      <c r="K147" s="65"/>
      <c r="L147" s="123">
        <f>SUM(L144:L146)</f>
        <v>95.779200000000003</v>
      </c>
    </row>
    <row r="148" spans="1:14">
      <c r="A148" s="121"/>
      <c r="B148" s="83"/>
      <c r="C148" s="83"/>
      <c r="D148" s="82"/>
      <c r="E148" s="82"/>
      <c r="F148" s="84"/>
      <c r="G148" s="85"/>
      <c r="H148" s="82"/>
      <c r="I148" s="81" t="s">
        <v>212</v>
      </c>
      <c r="J148" s="82"/>
      <c r="K148" s="82"/>
      <c r="L148" s="142">
        <f>L147+L142</f>
        <v>99.806100000000001</v>
      </c>
    </row>
    <row r="149" spans="1:14">
      <c r="A149" s="115"/>
      <c r="B149" s="63"/>
      <c r="C149" s="63"/>
      <c r="D149" s="63"/>
      <c r="E149" s="63"/>
      <c r="F149" s="63"/>
      <c r="G149" s="63"/>
      <c r="H149" s="63"/>
      <c r="I149" s="64" t="s">
        <v>213</v>
      </c>
      <c r="J149" s="64"/>
      <c r="K149" s="65"/>
      <c r="L149" s="124">
        <f>L148/I136</f>
        <v>178.22517857142856</v>
      </c>
    </row>
    <row r="150" spans="1:14">
      <c r="A150" s="115"/>
      <c r="B150" s="63"/>
      <c r="C150" s="63"/>
      <c r="D150" s="63"/>
      <c r="E150" s="63"/>
      <c r="F150" s="63"/>
      <c r="G150" s="63"/>
      <c r="H150" s="63"/>
      <c r="I150" s="64" t="s">
        <v>216</v>
      </c>
      <c r="J150" s="64"/>
      <c r="K150" s="65"/>
      <c r="L150" s="160" t="s">
        <v>279</v>
      </c>
      <c r="N150" s="1">
        <f>L149+L150</f>
        <v>182.43667857142856</v>
      </c>
    </row>
    <row r="151" spans="1:14">
      <c r="A151" s="115"/>
      <c r="B151" s="63"/>
      <c r="C151" s="63"/>
      <c r="D151" s="63"/>
      <c r="E151" s="63"/>
      <c r="F151" s="63"/>
      <c r="G151" s="63"/>
      <c r="H151" s="63"/>
      <c r="I151" s="64" t="s">
        <v>217</v>
      </c>
      <c r="J151" s="64"/>
      <c r="K151" s="65"/>
      <c r="L151" s="124">
        <v>0</v>
      </c>
    </row>
    <row r="152" spans="1:14">
      <c r="A152" s="115"/>
      <c r="B152" s="63"/>
      <c r="C152" s="63"/>
      <c r="D152" s="63"/>
      <c r="E152" s="63"/>
      <c r="F152" s="63"/>
      <c r="G152" s="63"/>
      <c r="H152" s="63"/>
      <c r="I152" s="63"/>
      <c r="J152" s="63"/>
      <c r="K152" s="65"/>
      <c r="L152" s="116"/>
    </row>
    <row r="153" spans="1:14">
      <c r="A153" s="125" t="s">
        <v>186</v>
      </c>
      <c r="B153" s="69"/>
      <c r="C153" s="69"/>
      <c r="D153" s="69"/>
      <c r="E153" s="69"/>
      <c r="F153" s="70" t="s">
        <v>187</v>
      </c>
      <c r="G153" s="70" t="s">
        <v>73</v>
      </c>
      <c r="H153" s="69"/>
      <c r="I153" s="69" t="s">
        <v>188</v>
      </c>
      <c r="J153" s="69"/>
      <c r="K153" s="69"/>
      <c r="L153" s="126" t="s">
        <v>189</v>
      </c>
    </row>
    <row r="154" spans="1:14">
      <c r="A154" s="117" t="s">
        <v>280</v>
      </c>
      <c r="B154" s="67" t="s">
        <v>281</v>
      </c>
      <c r="C154" s="67"/>
      <c r="D154" s="92"/>
      <c r="E154" s="92"/>
      <c r="F154" s="118">
        <v>1</v>
      </c>
      <c r="G154" s="68" t="s">
        <v>112</v>
      </c>
      <c r="H154" s="92"/>
      <c r="I154" s="158">
        <v>0</v>
      </c>
      <c r="J154" s="92"/>
      <c r="K154" s="92"/>
      <c r="L154" s="156">
        <f>I154*F154</f>
        <v>0</v>
      </c>
    </row>
    <row r="155" spans="1:14">
      <c r="A155" s="117"/>
      <c r="B155" s="67"/>
      <c r="C155" s="67"/>
      <c r="D155" s="92"/>
      <c r="E155" s="92"/>
      <c r="F155" s="118"/>
      <c r="G155" s="68"/>
      <c r="H155" s="92"/>
      <c r="I155" s="119"/>
      <c r="J155" s="92"/>
      <c r="K155" s="92"/>
      <c r="L155" s="120"/>
    </row>
    <row r="156" spans="1:14">
      <c r="A156" s="115"/>
      <c r="B156" s="815"/>
      <c r="C156" s="815"/>
      <c r="D156" s="63"/>
      <c r="E156" s="63"/>
      <c r="F156" s="63"/>
      <c r="G156" s="63"/>
      <c r="H156" s="63"/>
      <c r="I156" s="63"/>
      <c r="J156" s="63"/>
      <c r="K156" s="65" t="s">
        <v>190</v>
      </c>
      <c r="L156" s="144">
        <f>TRUNC(SUM(L154:L155),2)</f>
        <v>0</v>
      </c>
    </row>
    <row r="157" spans="1:14">
      <c r="A157" s="145" t="s">
        <v>197</v>
      </c>
      <c r="B157" s="93"/>
      <c r="C157" s="93"/>
      <c r="D157" s="93"/>
      <c r="E157" s="93"/>
      <c r="F157" s="94" t="s">
        <v>187</v>
      </c>
      <c r="G157" s="94" t="s">
        <v>73</v>
      </c>
      <c r="H157" s="93"/>
      <c r="I157" s="93" t="s">
        <v>188</v>
      </c>
      <c r="J157" s="93"/>
      <c r="K157" s="93"/>
      <c r="L157" s="146" t="s">
        <v>189</v>
      </c>
    </row>
    <row r="158" spans="1:14">
      <c r="A158" s="157" t="s">
        <v>282</v>
      </c>
      <c r="B158" s="78"/>
      <c r="C158" s="63"/>
      <c r="D158" s="63"/>
      <c r="E158" s="63"/>
      <c r="F158" s="77">
        <v>1</v>
      </c>
      <c r="G158" s="68" t="s">
        <v>112</v>
      </c>
      <c r="H158" s="63"/>
      <c r="I158" s="159">
        <v>0</v>
      </c>
      <c r="J158" s="63"/>
      <c r="K158" s="63"/>
      <c r="L158" s="156">
        <f t="shared" ref="L158:L159" si="3">I158*F158</f>
        <v>0</v>
      </c>
    </row>
    <row r="159" spans="1:14">
      <c r="A159" s="131"/>
      <c r="B159" s="78"/>
      <c r="C159" s="63"/>
      <c r="D159" s="63"/>
      <c r="E159" s="63"/>
      <c r="F159" s="77"/>
      <c r="G159" s="68"/>
      <c r="H159" s="63"/>
      <c r="I159" s="74"/>
      <c r="J159" s="63"/>
      <c r="K159" s="63"/>
      <c r="L159" s="156">
        <f t="shared" si="3"/>
        <v>0</v>
      </c>
    </row>
    <row r="160" spans="1:14">
      <c r="A160" s="131"/>
      <c r="B160" s="78"/>
      <c r="C160" s="63"/>
      <c r="D160" s="63"/>
      <c r="E160" s="63"/>
      <c r="F160" s="77"/>
      <c r="G160" s="118"/>
      <c r="H160" s="63"/>
      <c r="I160" s="74"/>
      <c r="J160" s="63"/>
      <c r="K160" s="63"/>
      <c r="L160" s="128"/>
    </row>
    <row r="161" spans="1:12">
      <c r="A161" s="131"/>
      <c r="B161" s="78"/>
      <c r="C161" s="63"/>
      <c r="D161" s="63"/>
      <c r="E161" s="63"/>
      <c r="F161" s="77"/>
      <c r="G161" s="118"/>
      <c r="H161" s="63"/>
      <c r="I161" s="63"/>
      <c r="J161" s="63"/>
      <c r="K161" s="65" t="s">
        <v>252</v>
      </c>
      <c r="L161" s="148">
        <f>SUM(L158:L160)</f>
        <v>0</v>
      </c>
    </row>
    <row r="162" spans="1:12">
      <c r="A162" s="129" t="s">
        <v>253</v>
      </c>
      <c r="B162" s="75"/>
      <c r="C162" s="75"/>
      <c r="D162" s="75"/>
      <c r="E162" s="75"/>
      <c r="F162" s="76" t="s">
        <v>71</v>
      </c>
      <c r="G162" s="94" t="s">
        <v>187</v>
      </c>
      <c r="H162" s="94" t="s">
        <v>73</v>
      </c>
      <c r="I162" s="93" t="s">
        <v>188</v>
      </c>
      <c r="J162" s="75"/>
      <c r="K162" s="75"/>
      <c r="L162" s="130" t="s">
        <v>189</v>
      </c>
    </row>
    <row r="163" spans="1:12" ht="30.75" customHeight="1">
      <c r="A163" s="816" t="s">
        <v>284</v>
      </c>
      <c r="B163" s="817"/>
      <c r="C163" s="817"/>
      <c r="D163" s="817"/>
      <c r="E163" s="817"/>
      <c r="F163" s="149">
        <v>5915476</v>
      </c>
      <c r="G163" s="118">
        <v>2.4</v>
      </c>
      <c r="H163" s="78" t="s">
        <v>254</v>
      </c>
      <c r="I163" s="74">
        <v>49.46</v>
      </c>
      <c r="J163" s="63"/>
      <c r="K163" s="63"/>
      <c r="L163" s="143">
        <f>I163*G163</f>
        <v>118.70399999999999</v>
      </c>
    </row>
    <row r="164" spans="1:12">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c r="A165" s="117"/>
      <c r="B165" s="67"/>
      <c r="C165" s="67"/>
      <c r="D165" s="63"/>
      <c r="E165" s="63"/>
      <c r="F165" s="63"/>
      <c r="G165" s="63"/>
      <c r="H165" s="63"/>
      <c r="I165" s="63"/>
      <c r="J165" s="63"/>
      <c r="K165" s="65"/>
      <c r="L165" s="132"/>
    </row>
    <row r="166" spans="1:12">
      <c r="A166" s="117"/>
      <c r="B166" s="67"/>
      <c r="C166" s="67"/>
      <c r="D166" s="63"/>
      <c r="E166" s="63"/>
      <c r="F166" s="63"/>
      <c r="G166" s="63"/>
      <c r="H166" s="63"/>
      <c r="I166" s="63"/>
      <c r="J166" s="63"/>
      <c r="K166" s="65" t="s">
        <v>259</v>
      </c>
      <c r="L166" s="148">
        <f>SUM(L163:L165)</f>
        <v>163.56</v>
      </c>
    </row>
    <row r="167" spans="1:12">
      <c r="A167" s="150" t="s">
        <v>218</v>
      </c>
      <c r="B167" s="98"/>
      <c r="C167" s="98"/>
      <c r="D167" s="98"/>
      <c r="E167" s="99" t="s">
        <v>187</v>
      </c>
      <c r="F167" s="99" t="s">
        <v>73</v>
      </c>
      <c r="G167" s="99"/>
      <c r="H167" s="98"/>
      <c r="I167" s="98" t="s">
        <v>219</v>
      </c>
      <c r="J167" s="98"/>
      <c r="K167" s="98"/>
      <c r="L167" s="151" t="s">
        <v>189</v>
      </c>
    </row>
    <row r="168" spans="1:12">
      <c r="A168" s="115"/>
      <c r="B168" s="63"/>
      <c r="C168" s="63"/>
      <c r="D168" s="63"/>
      <c r="E168" s="63"/>
      <c r="F168" s="77"/>
      <c r="G168" s="95" t="s">
        <v>220</v>
      </c>
      <c r="H168" s="96" t="s">
        <v>221</v>
      </c>
      <c r="I168" s="97" t="s">
        <v>222</v>
      </c>
      <c r="J168" s="63"/>
      <c r="K168" s="63"/>
      <c r="L168" s="128"/>
    </row>
    <row r="169" spans="1:12">
      <c r="A169" s="117"/>
      <c r="B169" s="67"/>
      <c r="C169" s="67"/>
      <c r="D169" s="77"/>
      <c r="E169" s="67"/>
      <c r="F169" s="77"/>
      <c r="G169" s="118"/>
      <c r="H169" s="63"/>
      <c r="I169" s="74"/>
      <c r="J169" s="63"/>
      <c r="K169" s="63"/>
      <c r="L169" s="128"/>
    </row>
    <row r="170" spans="1:12" ht="25.5" customHeight="1">
      <c r="A170" s="818" t="s">
        <v>284</v>
      </c>
      <c r="B170" s="819"/>
      <c r="C170" s="819"/>
      <c r="D170" s="819"/>
      <c r="E170" s="819"/>
      <c r="F170" s="77" t="s">
        <v>203</v>
      </c>
      <c r="G170" s="149">
        <v>5914314</v>
      </c>
      <c r="H170" s="63">
        <v>5914329</v>
      </c>
      <c r="I170" s="63">
        <v>5914344</v>
      </c>
      <c r="J170" s="63"/>
      <c r="K170" s="63"/>
      <c r="L170" s="128"/>
    </row>
    <row r="171" spans="1:12">
      <c r="A171" s="117" t="s">
        <v>283</v>
      </c>
      <c r="B171" s="67"/>
      <c r="C171" s="67"/>
      <c r="D171" s="63"/>
      <c r="E171" s="63"/>
      <c r="F171" s="77" t="s">
        <v>203</v>
      </c>
      <c r="G171" s="149">
        <v>5914314</v>
      </c>
      <c r="H171" s="63">
        <v>5914329</v>
      </c>
      <c r="I171" s="63">
        <v>5914344</v>
      </c>
      <c r="J171" s="63"/>
      <c r="K171" s="63"/>
      <c r="L171" s="128"/>
    </row>
    <row r="172" spans="1:12" ht="15.75" thickBot="1">
      <c r="A172" s="115"/>
      <c r="B172" s="63"/>
      <c r="C172" s="63"/>
      <c r="D172" s="63"/>
      <c r="E172" s="63"/>
      <c r="F172" s="77"/>
      <c r="G172" s="118"/>
      <c r="H172" s="63"/>
      <c r="I172" s="74"/>
      <c r="J172" s="63"/>
      <c r="K172" s="63"/>
      <c r="L172" s="128"/>
    </row>
    <row r="173" spans="1:12" ht="15.75" thickTop="1">
      <c r="A173" s="133"/>
      <c r="B173" s="79"/>
      <c r="C173" s="79"/>
      <c r="D173" s="79"/>
      <c r="E173" s="79"/>
      <c r="F173" s="79"/>
      <c r="G173" s="79"/>
      <c r="H173" s="79"/>
      <c r="I173" s="79"/>
      <c r="J173" s="79"/>
      <c r="K173" s="80" t="s">
        <v>223</v>
      </c>
      <c r="L173" s="134">
        <f>L149+L150+L166</f>
        <v>345.99667857142856</v>
      </c>
    </row>
    <row r="174" spans="1:12">
      <c r="A174" s="115"/>
      <c r="B174" s="63"/>
      <c r="C174" s="63"/>
      <c r="D174" s="63"/>
      <c r="E174" s="63"/>
      <c r="F174" s="63"/>
      <c r="G174" s="63"/>
      <c r="H174" s="63"/>
      <c r="I174" s="63"/>
      <c r="J174" s="63"/>
      <c r="K174" s="65"/>
      <c r="L174" s="116"/>
    </row>
    <row r="175" spans="1:12" ht="15.75" thickBot="1">
      <c r="A175" s="135"/>
      <c r="B175" s="136"/>
      <c r="C175" s="136"/>
      <c r="D175" s="136"/>
      <c r="E175" s="136"/>
      <c r="F175" s="136"/>
      <c r="G175" s="136"/>
      <c r="H175" s="136"/>
      <c r="I175" s="136"/>
      <c r="J175" s="136"/>
      <c r="K175" s="137"/>
      <c r="L175" s="138"/>
    </row>
  </sheetData>
  <mergeCells count="15">
    <mergeCell ref="G6:H6"/>
    <mergeCell ref="G48:H48"/>
    <mergeCell ref="B69:C69"/>
    <mergeCell ref="A46:C46"/>
    <mergeCell ref="A87:C87"/>
    <mergeCell ref="A96:F96"/>
    <mergeCell ref="A136:C136"/>
    <mergeCell ref="G138:H138"/>
    <mergeCell ref="A88:C88"/>
    <mergeCell ref="B28:C28"/>
    <mergeCell ref="B156:C156"/>
    <mergeCell ref="A163:E163"/>
    <mergeCell ref="A170:E170"/>
    <mergeCell ref="G98:H98"/>
    <mergeCell ref="B120:C120"/>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dimension ref="A2:N121"/>
  <sheetViews>
    <sheetView view="pageBreakPreview" topLeftCell="A13" zoomScale="85" zoomScaleNormal="100" zoomScaleSheetLayoutView="85" workbookViewId="0">
      <selection activeCell="N10" sqref="N10"/>
    </sheetView>
  </sheetViews>
  <sheetFormatPr defaultRowHeight="15"/>
  <cols>
    <col min="1" max="1" width="8.7109375" style="366" bestFit="1" customWidth="1"/>
    <col min="2" max="2" width="11.5703125" style="367" bestFit="1" customWidth="1"/>
    <col min="3" max="3" width="10.28515625" style="367" bestFit="1" customWidth="1"/>
    <col min="4" max="4" width="92.7109375" style="368" customWidth="1"/>
    <col min="5" max="5" width="7.140625" style="367" bestFit="1" customWidth="1"/>
    <col min="6" max="6" width="13.7109375" style="366" customWidth="1"/>
    <col min="7" max="7" width="13.7109375" style="366" hidden="1" customWidth="1"/>
    <col min="8" max="8" width="13.7109375" style="312" hidden="1" customWidth="1"/>
    <col min="9" max="9" width="16.140625" style="367" bestFit="1" customWidth="1"/>
    <col min="10" max="10" width="16" style="367" bestFit="1" customWidth="1"/>
    <col min="11" max="11" width="16.42578125" style="367" bestFit="1" customWidth="1"/>
    <col min="12" max="12" width="11.7109375" style="356" bestFit="1" customWidth="1"/>
    <col min="13" max="13" width="9.140625" style="367"/>
    <col min="14" max="14" width="16.42578125" style="367" bestFit="1" customWidth="1"/>
    <col min="15" max="16384" width="9.140625" style="367"/>
  </cols>
  <sheetData>
    <row r="2" spans="1:12">
      <c r="J2" s="365"/>
      <c r="K2" s="264"/>
    </row>
    <row r="3" spans="1:12">
      <c r="J3" s="365"/>
      <c r="K3" s="264"/>
    </row>
    <row r="4" spans="1:12">
      <c r="A4" s="529" t="s">
        <v>0</v>
      </c>
      <c r="B4" s="529"/>
      <c r="C4" s="529"/>
      <c r="D4" s="529"/>
      <c r="E4" s="529"/>
      <c r="F4" s="529"/>
      <c r="G4" s="529"/>
      <c r="H4" s="529"/>
      <c r="I4" s="529"/>
      <c r="J4" s="529"/>
      <c r="K4" s="529"/>
    </row>
    <row r="5" spans="1:12">
      <c r="A5" s="530" t="s">
        <v>1</v>
      </c>
      <c r="B5" s="530"/>
      <c r="C5" s="530"/>
      <c r="D5" s="530"/>
      <c r="E5" s="530"/>
      <c r="F5" s="530"/>
      <c r="G5" s="530"/>
      <c r="H5" s="530"/>
      <c r="I5" s="530"/>
      <c r="J5" s="530"/>
      <c r="K5" s="530"/>
    </row>
    <row r="6" spans="1:12">
      <c r="A6" s="369" t="s">
        <v>2</v>
      </c>
      <c r="B6" s="534" t="s">
        <v>473</v>
      </c>
      <c r="C6" s="534"/>
      <c r="D6" s="535"/>
      <c r="E6" s="370"/>
      <c r="F6" s="371"/>
      <c r="G6" s="371"/>
      <c r="H6" s="313"/>
      <c r="I6" s="370"/>
      <c r="J6" s="265" t="s">
        <v>16</v>
      </c>
      <c r="K6" s="372"/>
    </row>
    <row r="7" spans="1:12">
      <c r="A7" s="373" t="s">
        <v>3</v>
      </c>
      <c r="B7" s="536" t="s">
        <v>472</v>
      </c>
      <c r="C7" s="536"/>
      <c r="D7" s="537"/>
      <c r="H7" s="314"/>
      <c r="J7" s="374"/>
      <c r="K7" s="375"/>
    </row>
    <row r="8" spans="1:12">
      <c r="A8" s="373" t="s">
        <v>4</v>
      </c>
      <c r="B8" s="538" t="s">
        <v>512</v>
      </c>
      <c r="C8" s="538"/>
      <c r="D8" s="539"/>
      <c r="H8" s="314"/>
      <c r="J8" s="398" t="s">
        <v>322</v>
      </c>
      <c r="K8" s="399">
        <f>BDI_OK!E26</f>
        <v>0.20702738941176513</v>
      </c>
    </row>
    <row r="9" spans="1:12" s="368" customFormat="1">
      <c r="A9" s="376" t="s">
        <v>471</v>
      </c>
      <c r="B9" s="540" t="s">
        <v>513</v>
      </c>
      <c r="C9" s="540"/>
      <c r="D9" s="541"/>
      <c r="F9" s="409"/>
      <c r="G9" s="409"/>
      <c r="H9" s="319"/>
      <c r="J9" s="400" t="s">
        <v>395</v>
      </c>
      <c r="K9" s="401">
        <f>'BDI DIFERENCIADO_OK'!K27</f>
        <v>0.15278047942916428</v>
      </c>
      <c r="L9" s="357"/>
    </row>
    <row r="10" spans="1:12">
      <c r="A10" s="544"/>
      <c r="B10" s="536"/>
      <c r="C10" s="536"/>
      <c r="D10" s="537"/>
      <c r="H10" s="314"/>
      <c r="J10" s="402" t="s">
        <v>17</v>
      </c>
      <c r="K10" s="403">
        <v>45078</v>
      </c>
    </row>
    <row r="11" spans="1:12">
      <c r="A11" s="544"/>
      <c r="B11" s="536"/>
      <c r="C11" s="536"/>
      <c r="D11" s="537"/>
      <c r="H11" s="314"/>
      <c r="J11" s="402" t="s">
        <v>201</v>
      </c>
      <c r="K11" s="403">
        <v>45017</v>
      </c>
    </row>
    <row r="12" spans="1:12" ht="15" customHeight="1">
      <c r="A12" s="545"/>
      <c r="B12" s="542"/>
      <c r="C12" s="542"/>
      <c r="D12" s="543"/>
      <c r="E12" s="377"/>
      <c r="F12" s="378"/>
      <c r="G12" s="378"/>
      <c r="H12" s="315"/>
      <c r="I12" s="377"/>
      <c r="J12" s="404" t="s">
        <v>510</v>
      </c>
      <c r="K12" s="405"/>
    </row>
    <row r="13" spans="1:12">
      <c r="A13" s="379"/>
    </row>
    <row r="14" spans="1:12" ht="26.25">
      <c r="A14" s="531" t="s">
        <v>316</v>
      </c>
      <c r="B14" s="532"/>
      <c r="C14" s="532"/>
      <c r="D14" s="532"/>
      <c r="E14" s="532"/>
      <c r="F14" s="532"/>
      <c r="G14" s="532"/>
      <c r="H14" s="532"/>
      <c r="I14" s="532"/>
      <c r="J14" s="532"/>
      <c r="K14" s="533"/>
    </row>
    <row r="15" spans="1:12" ht="5.25" customHeight="1"/>
    <row r="16" spans="1:12" ht="31.5">
      <c r="A16" s="262" t="s">
        <v>400</v>
      </c>
      <c r="B16" s="262" t="s">
        <v>398</v>
      </c>
      <c r="C16" s="262" t="s">
        <v>399</v>
      </c>
      <c r="D16" s="262" t="s">
        <v>72</v>
      </c>
      <c r="E16" s="262" t="s">
        <v>5</v>
      </c>
      <c r="F16" s="263" t="s">
        <v>540</v>
      </c>
      <c r="G16" s="263" t="s">
        <v>187</v>
      </c>
      <c r="H16" s="316"/>
      <c r="I16" s="261" t="s">
        <v>189</v>
      </c>
      <c r="J16" s="261" t="s">
        <v>188</v>
      </c>
      <c r="K16" s="261" t="s">
        <v>436</v>
      </c>
    </row>
    <row r="17" spans="1:14">
      <c r="A17" s="380"/>
      <c r="B17" s="381"/>
      <c r="C17" s="381"/>
      <c r="D17" s="260"/>
      <c r="E17" s="380"/>
      <c r="F17" s="275"/>
      <c r="G17" s="275"/>
      <c r="H17" s="311"/>
      <c r="I17" s="266"/>
      <c r="J17" s="267"/>
      <c r="K17" s="267"/>
    </row>
    <row r="18" spans="1:14">
      <c r="A18" s="268" t="s">
        <v>143</v>
      </c>
      <c r="B18" s="382"/>
      <c r="C18" s="382"/>
      <c r="D18" s="309" t="s">
        <v>473</v>
      </c>
      <c r="E18" s="268"/>
      <c r="F18" s="276"/>
      <c r="G18" s="276"/>
      <c r="H18" s="317"/>
      <c r="I18" s="269"/>
      <c r="J18" s="269" t="s">
        <v>6</v>
      </c>
      <c r="K18" s="269"/>
      <c r="L18" s="358"/>
    </row>
    <row r="19" spans="1:14">
      <c r="A19" s="268" t="s">
        <v>14</v>
      </c>
      <c r="B19" s="382"/>
      <c r="C19" s="382"/>
      <c r="D19" s="309" t="s">
        <v>7</v>
      </c>
      <c r="E19" s="268"/>
      <c r="F19" s="276"/>
      <c r="G19" s="276"/>
      <c r="H19" s="318">
        <f>SUM(H20:H25)</f>
        <v>0.56041710861373562</v>
      </c>
      <c r="I19" s="269"/>
      <c r="J19" s="269" t="s">
        <v>6</v>
      </c>
      <c r="K19" s="270">
        <f>SUM(K20:K25)</f>
        <v>10447155.5</v>
      </c>
      <c r="L19" s="359"/>
    </row>
    <row r="20" spans="1:14" ht="30">
      <c r="A20" s="257" t="s">
        <v>144</v>
      </c>
      <c r="B20" s="410">
        <v>95995</v>
      </c>
      <c r="C20" s="410" t="s">
        <v>20</v>
      </c>
      <c r="D20" s="258" t="s">
        <v>260</v>
      </c>
      <c r="E20" s="257" t="s">
        <v>137</v>
      </c>
      <c r="F20" s="411">
        <v>5333.3333333333339</v>
      </c>
      <c r="G20" s="411">
        <f>TRUNC(F20,2)</f>
        <v>5333.33</v>
      </c>
      <c r="H20" s="412">
        <f>K20/$K$111</f>
        <v>0.49977568897481012</v>
      </c>
      <c r="I20" s="273">
        <v>1447.26</v>
      </c>
      <c r="J20" s="273">
        <f>TRUNC((I20*(1+$K$8)),2)</f>
        <v>1746.88</v>
      </c>
      <c r="K20" s="273">
        <f t="shared" ref="K20:K22" si="0">TRUNC((F20*J20),2)</f>
        <v>9316693.3300000001</v>
      </c>
      <c r="L20" s="360">
        <f>K20/$K$111</f>
        <v>0.49977568897481012</v>
      </c>
    </row>
    <row r="21" spans="1:14" s="384" customFormat="1" ht="30">
      <c r="A21" s="257" t="s">
        <v>145</v>
      </c>
      <c r="B21" s="410">
        <v>72846</v>
      </c>
      <c r="C21" s="410" t="s">
        <v>20</v>
      </c>
      <c r="D21" s="258" t="s">
        <v>261</v>
      </c>
      <c r="E21" s="257" t="s">
        <v>8</v>
      </c>
      <c r="F21" s="411">
        <v>12800.000000000002</v>
      </c>
      <c r="G21" s="411">
        <f t="shared" ref="G21:G24" si="1">TRUNC(F21,2)</f>
        <v>12800</v>
      </c>
      <c r="H21" s="412">
        <f>K21/$K$111</f>
        <v>3.4674856616034744E-3</v>
      </c>
      <c r="I21" s="273">
        <f>'Composição Direta'!H118</f>
        <v>4.1900000000000004</v>
      </c>
      <c r="J21" s="273">
        <f>TRUNC((I21*(1+$K$8)),2)</f>
        <v>5.05</v>
      </c>
      <c r="K21" s="273">
        <f t="shared" si="0"/>
        <v>64640</v>
      </c>
      <c r="L21" s="360">
        <f t="shared" ref="L21:L24" si="2">K21/$K$111</f>
        <v>3.4674856616034744E-3</v>
      </c>
    </row>
    <row r="22" spans="1:14" ht="30">
      <c r="A22" s="257" t="s">
        <v>146</v>
      </c>
      <c r="B22" s="410">
        <v>95878</v>
      </c>
      <c r="C22" s="410" t="s">
        <v>20</v>
      </c>
      <c r="D22" s="258" t="s">
        <v>286</v>
      </c>
      <c r="E22" s="257" t="s">
        <v>10</v>
      </c>
      <c r="F22" s="411">
        <v>256000</v>
      </c>
      <c r="G22" s="411">
        <f t="shared" si="1"/>
        <v>256000</v>
      </c>
      <c r="H22" s="412">
        <f>K22/$K$111</f>
        <v>2.4306731172428316E-2</v>
      </c>
      <c r="I22" s="273">
        <v>1.47</v>
      </c>
      <c r="J22" s="273">
        <f>TRUNC((I22*(1+$K$8)),2)</f>
        <v>1.77</v>
      </c>
      <c r="K22" s="273">
        <f t="shared" si="0"/>
        <v>453120</v>
      </c>
      <c r="L22" s="360">
        <f t="shared" si="2"/>
        <v>2.4306731172428316E-2</v>
      </c>
    </row>
    <row r="23" spans="1:14">
      <c r="A23" s="257" t="s">
        <v>147</v>
      </c>
      <c r="B23" s="410">
        <v>96402</v>
      </c>
      <c r="C23" s="410" t="s">
        <v>20</v>
      </c>
      <c r="D23" s="258" t="s">
        <v>272</v>
      </c>
      <c r="E23" s="422" t="s">
        <v>9</v>
      </c>
      <c r="F23" s="411">
        <v>106666.66666666667</v>
      </c>
      <c r="G23" s="411">
        <f t="shared" si="1"/>
        <v>106666.66</v>
      </c>
      <c r="H23" s="412">
        <f>K23/$K$111</f>
        <v>1.5048658715607609E-2</v>
      </c>
      <c r="I23" s="273">
        <f>'Composição Direta'!H31</f>
        <v>2.1800000000000002</v>
      </c>
      <c r="J23" s="273">
        <f>TRUNC((I23*(1+$K$8)),2)</f>
        <v>2.63</v>
      </c>
      <c r="K23" s="273">
        <f t="shared" ref="K23" si="3">TRUNC((F23*J23),2)</f>
        <v>280533.33</v>
      </c>
      <c r="L23" s="360">
        <f t="shared" si="2"/>
        <v>1.5048658715607609E-2</v>
      </c>
    </row>
    <row r="24" spans="1:14">
      <c r="A24" s="257" t="s">
        <v>148</v>
      </c>
      <c r="B24" s="410">
        <v>83356</v>
      </c>
      <c r="C24" s="410" t="s">
        <v>20</v>
      </c>
      <c r="D24" s="258" t="s">
        <v>291</v>
      </c>
      <c r="E24" s="257" t="s">
        <v>287</v>
      </c>
      <c r="F24" s="411">
        <v>253564</v>
      </c>
      <c r="G24" s="411">
        <f t="shared" si="1"/>
        <v>253564</v>
      </c>
      <c r="H24" s="412">
        <f>K24/$K$111</f>
        <v>1.7818544089286181E-2</v>
      </c>
      <c r="I24" s="273">
        <f>'Composição Direta'!H192</f>
        <v>1.0900000000000001</v>
      </c>
      <c r="J24" s="273">
        <f>TRUNC((I24*(1+$K$8)),2)</f>
        <v>1.31</v>
      </c>
      <c r="K24" s="273">
        <f t="shared" ref="K24" si="4">TRUNC((F24*J24),2)</f>
        <v>332168.84000000003</v>
      </c>
      <c r="L24" s="360">
        <f t="shared" si="2"/>
        <v>1.7818544089286181E-2</v>
      </c>
    </row>
    <row r="25" spans="1:14">
      <c r="A25" s="257"/>
      <c r="B25" s="425"/>
      <c r="C25" s="425"/>
      <c r="D25" s="426"/>
      <c r="E25" s="257"/>
      <c r="F25" s="411"/>
      <c r="G25" s="411"/>
      <c r="H25" s="412"/>
      <c r="I25" s="273"/>
      <c r="J25" s="273"/>
      <c r="K25" s="273"/>
      <c r="L25" s="360"/>
      <c r="N25" s="385"/>
    </row>
    <row r="26" spans="1:14" s="386" customFormat="1">
      <c r="A26" s="268" t="s">
        <v>331</v>
      </c>
      <c r="B26" s="382"/>
      <c r="C26" s="382"/>
      <c r="D26" s="309" t="s">
        <v>437</v>
      </c>
      <c r="E26" s="274"/>
      <c r="F26" s="276"/>
      <c r="G26" s="276"/>
      <c r="H26" s="318">
        <f>SUM(H27:H32)</f>
        <v>8.5429676425395812E-2</v>
      </c>
      <c r="I26" s="269"/>
      <c r="J26" s="269" t="s">
        <v>6</v>
      </c>
      <c r="K26" s="270">
        <f>SUM(K27:K32)</f>
        <v>1592558.6500000001</v>
      </c>
      <c r="L26" s="359"/>
      <c r="N26" s="387"/>
    </row>
    <row r="27" spans="1:14" ht="30">
      <c r="A27" s="257" t="s">
        <v>401</v>
      </c>
      <c r="B27" s="410" t="s">
        <v>491</v>
      </c>
      <c r="C27" s="421" t="s">
        <v>20</v>
      </c>
      <c r="D27" s="258" t="s">
        <v>435</v>
      </c>
      <c r="E27" s="257" t="s">
        <v>137</v>
      </c>
      <c r="F27" s="411">
        <v>800</v>
      </c>
      <c r="G27" s="411">
        <f t="shared" ref="G27:G31" si="5">TRUNC(F27,2)</f>
        <v>800</v>
      </c>
      <c r="H27" s="412">
        <f>K27/$K$111</f>
        <v>7.4828598063961999E-2</v>
      </c>
      <c r="I27" s="273">
        <f>'Composição Direta'!H112</f>
        <v>1444.6</v>
      </c>
      <c r="J27" s="273">
        <f>TRUNC((I27*(1+$K$8)),2)</f>
        <v>1743.67</v>
      </c>
      <c r="K27" s="273">
        <f t="shared" ref="K27:K30" si="6">TRUNC((F27*J27),2)</f>
        <v>1394936</v>
      </c>
      <c r="L27" s="360">
        <f t="shared" ref="L27:L38" si="7">K27/$K$111</f>
        <v>7.4828598063961999E-2</v>
      </c>
      <c r="N27" s="385"/>
    </row>
    <row r="28" spans="1:14" ht="30">
      <c r="A28" s="257" t="s">
        <v>402</v>
      </c>
      <c r="B28" s="410">
        <v>72846</v>
      </c>
      <c r="C28" s="410" t="s">
        <v>20</v>
      </c>
      <c r="D28" s="258" t="s">
        <v>261</v>
      </c>
      <c r="E28" s="257" t="s">
        <v>8</v>
      </c>
      <c r="F28" s="411">
        <v>1920</v>
      </c>
      <c r="G28" s="411">
        <f t="shared" si="5"/>
        <v>1920</v>
      </c>
      <c r="H28" s="412">
        <f>K28/$K$111</f>
        <v>5.2012284924052115E-4</v>
      </c>
      <c r="I28" s="273">
        <f>'Composição Direta'!H118</f>
        <v>4.1900000000000004</v>
      </c>
      <c r="J28" s="273">
        <f>TRUNC((I28*(1+$K$8)),2)</f>
        <v>5.05</v>
      </c>
      <c r="K28" s="273">
        <f t="shared" si="6"/>
        <v>9696</v>
      </c>
      <c r="L28" s="360">
        <f t="shared" si="7"/>
        <v>5.2012284924052115E-4</v>
      </c>
      <c r="N28" s="385"/>
    </row>
    <row r="29" spans="1:14" ht="30">
      <c r="A29" s="257" t="s">
        <v>403</v>
      </c>
      <c r="B29" s="410">
        <v>95878</v>
      </c>
      <c r="C29" s="410" t="s">
        <v>20</v>
      </c>
      <c r="D29" s="258" t="s">
        <v>286</v>
      </c>
      <c r="E29" s="257" t="s">
        <v>10</v>
      </c>
      <c r="F29" s="411">
        <v>38400</v>
      </c>
      <c r="G29" s="411">
        <f t="shared" si="5"/>
        <v>38400</v>
      </c>
      <c r="H29" s="412">
        <f>K29/$K$111</f>
        <v>3.6460096758642473E-3</v>
      </c>
      <c r="I29" s="273">
        <f>I22</f>
        <v>1.47</v>
      </c>
      <c r="J29" s="273">
        <f>TRUNC((I29*(1+$K$8)),2)</f>
        <v>1.77</v>
      </c>
      <c r="K29" s="273">
        <f t="shared" si="6"/>
        <v>67968</v>
      </c>
      <c r="L29" s="360">
        <f t="shared" si="7"/>
        <v>3.6460096758642473E-3</v>
      </c>
      <c r="N29" s="385"/>
    </row>
    <row r="30" spans="1:14">
      <c r="A30" s="257" t="s">
        <v>404</v>
      </c>
      <c r="B30" s="410">
        <v>96402</v>
      </c>
      <c r="C30" s="410" t="s">
        <v>20</v>
      </c>
      <c r="D30" s="258" t="s">
        <v>272</v>
      </c>
      <c r="E30" s="257" t="s">
        <v>9</v>
      </c>
      <c r="F30" s="411">
        <v>26666.666666666668</v>
      </c>
      <c r="G30" s="411">
        <f t="shared" si="5"/>
        <v>26666.66</v>
      </c>
      <c r="H30" s="412">
        <f>K30/$K$111</f>
        <v>3.7621645447943192E-3</v>
      </c>
      <c r="I30" s="273">
        <f>I23</f>
        <v>2.1800000000000002</v>
      </c>
      <c r="J30" s="273">
        <f>TRUNC((I30*(1+$K$8)),2)</f>
        <v>2.63</v>
      </c>
      <c r="K30" s="273">
        <f t="shared" si="6"/>
        <v>70133.33</v>
      </c>
      <c r="L30" s="360">
        <f t="shared" si="7"/>
        <v>3.7621645447943192E-3</v>
      </c>
      <c r="N30" s="385"/>
    </row>
    <row r="31" spans="1:14">
      <c r="A31" s="257" t="s">
        <v>405</v>
      </c>
      <c r="B31" s="410">
        <v>83356</v>
      </c>
      <c r="C31" s="410" t="s">
        <v>20</v>
      </c>
      <c r="D31" s="258" t="s">
        <v>291</v>
      </c>
      <c r="E31" s="257" t="s">
        <v>287</v>
      </c>
      <c r="F31" s="411">
        <v>38034.6</v>
      </c>
      <c r="G31" s="411">
        <f t="shared" si="5"/>
        <v>38034.6</v>
      </c>
      <c r="H31" s="412">
        <f>K31/$K$111</f>
        <v>2.6727812915347282E-3</v>
      </c>
      <c r="I31" s="273">
        <f>I24</f>
        <v>1.0900000000000001</v>
      </c>
      <c r="J31" s="273">
        <f>TRUNC((I31*(1+$K$8)),2)</f>
        <v>1.31</v>
      </c>
      <c r="K31" s="273">
        <f t="shared" ref="K31" si="8">TRUNC((F31*J31),2)</f>
        <v>49825.32</v>
      </c>
      <c r="L31" s="360">
        <f t="shared" si="7"/>
        <v>2.6727812915347282E-3</v>
      </c>
      <c r="N31" s="385"/>
    </row>
    <row r="32" spans="1:14">
      <c r="A32" s="417"/>
      <c r="B32" s="418"/>
      <c r="C32" s="418"/>
      <c r="D32" s="419"/>
      <c r="E32" s="257"/>
      <c r="F32" s="411"/>
      <c r="G32" s="411"/>
      <c r="H32" s="412"/>
      <c r="I32" s="273"/>
      <c r="J32" s="273"/>
      <c r="K32" s="420"/>
      <c r="L32" s="360"/>
      <c r="N32" s="385"/>
    </row>
    <row r="33" spans="1:14" s="386" customFormat="1">
      <c r="A33" s="268" t="s">
        <v>333</v>
      </c>
      <c r="B33" s="382"/>
      <c r="C33" s="382"/>
      <c r="D33" s="309" t="s">
        <v>11</v>
      </c>
      <c r="E33" s="274"/>
      <c r="F33" s="276"/>
      <c r="G33" s="276"/>
      <c r="H33" s="318">
        <f>SUM(H34:H39)</f>
        <v>5.7245889132673353E-2</v>
      </c>
      <c r="I33" s="269"/>
      <c r="J33" s="269" t="s">
        <v>6</v>
      </c>
      <c r="K33" s="270">
        <f>SUM(K34:K39)</f>
        <v>1067163.5399999998</v>
      </c>
      <c r="L33" s="359"/>
      <c r="N33" s="387"/>
    </row>
    <row r="34" spans="1:14" s="384" customFormat="1" ht="30">
      <c r="A34" s="257" t="s">
        <v>406</v>
      </c>
      <c r="B34" s="410" t="s">
        <v>492</v>
      </c>
      <c r="C34" s="410" t="s">
        <v>20</v>
      </c>
      <c r="D34" s="258" t="s">
        <v>434</v>
      </c>
      <c r="E34" s="257" t="s">
        <v>137</v>
      </c>
      <c r="F34" s="411">
        <v>533.33333333333337</v>
      </c>
      <c r="G34" s="411">
        <f t="shared" ref="G34:G38" si="9">TRUNC(F34,2)</f>
        <v>533.33000000000004</v>
      </c>
      <c r="H34" s="412">
        <f>K34/$K$111</f>
        <v>5.1181747544282029E-2</v>
      </c>
      <c r="I34" s="273">
        <f>'Composição Direta'!H142</f>
        <v>1482.13</v>
      </c>
      <c r="J34" s="273">
        <f>TRUNC((I34*(1+$K$8)),2)</f>
        <v>1788.97</v>
      </c>
      <c r="K34" s="273">
        <f t="shared" ref="K34" si="10">TRUNC((F34*J34),2)</f>
        <v>954117.33</v>
      </c>
      <c r="L34" s="360">
        <f t="shared" si="7"/>
        <v>5.1181747544282029E-2</v>
      </c>
      <c r="N34" s="389"/>
    </row>
    <row r="35" spans="1:14" ht="30">
      <c r="A35" s="257" t="s">
        <v>407</v>
      </c>
      <c r="B35" s="410">
        <v>72846</v>
      </c>
      <c r="C35" s="410" t="s">
        <v>20</v>
      </c>
      <c r="D35" s="258" t="s">
        <v>261</v>
      </c>
      <c r="E35" s="257" t="s">
        <v>8</v>
      </c>
      <c r="F35" s="411">
        <v>1280</v>
      </c>
      <c r="G35" s="411">
        <f t="shared" si="9"/>
        <v>1280</v>
      </c>
      <c r="H35" s="412">
        <f>K35/$K$111</f>
        <v>3.4674856616034741E-4</v>
      </c>
      <c r="I35" s="273">
        <f>'Composição Direta'!H118</f>
        <v>4.1900000000000004</v>
      </c>
      <c r="J35" s="273">
        <f>TRUNC((I35*(1+$K$8)),2)</f>
        <v>5.05</v>
      </c>
      <c r="K35" s="273">
        <f t="shared" ref="K35:K37" si="11">TRUNC((F35*J35),2)</f>
        <v>6464</v>
      </c>
      <c r="L35" s="360">
        <f t="shared" si="7"/>
        <v>3.4674856616034741E-4</v>
      </c>
      <c r="N35" s="385"/>
    </row>
    <row r="36" spans="1:14" ht="30">
      <c r="A36" s="257" t="s">
        <v>408</v>
      </c>
      <c r="B36" s="410">
        <v>95878</v>
      </c>
      <c r="C36" s="410" t="s">
        <v>20</v>
      </c>
      <c r="D36" s="258" t="s">
        <v>286</v>
      </c>
      <c r="E36" s="257" t="s">
        <v>10</v>
      </c>
      <c r="F36" s="411">
        <v>25600</v>
      </c>
      <c r="G36" s="411">
        <f t="shared" si="9"/>
        <v>25600</v>
      </c>
      <c r="H36" s="412">
        <f>K36/$K$111</f>
        <v>2.4306731172428313E-3</v>
      </c>
      <c r="I36" s="273">
        <f>I29</f>
        <v>1.47</v>
      </c>
      <c r="J36" s="273">
        <f>TRUNC((I36*(1+$K$8)),2)</f>
        <v>1.77</v>
      </c>
      <c r="K36" s="273">
        <f t="shared" si="11"/>
        <v>45312</v>
      </c>
      <c r="L36" s="360">
        <f t="shared" si="7"/>
        <v>2.4306731172428313E-3</v>
      </c>
      <c r="N36" s="385"/>
    </row>
    <row r="37" spans="1:14">
      <c r="A37" s="257" t="s">
        <v>409</v>
      </c>
      <c r="B37" s="410">
        <v>96402</v>
      </c>
      <c r="C37" s="410" t="s">
        <v>20</v>
      </c>
      <c r="D37" s="258" t="s">
        <v>272</v>
      </c>
      <c r="E37" s="257" t="s">
        <v>9</v>
      </c>
      <c r="F37" s="411">
        <v>10666.666666666666</v>
      </c>
      <c r="G37" s="411">
        <f t="shared" si="9"/>
        <v>10666.66</v>
      </c>
      <c r="H37" s="412">
        <f>K37/$K$111</f>
        <v>1.5048657106316616E-3</v>
      </c>
      <c r="I37" s="273">
        <f>I23</f>
        <v>2.1800000000000002</v>
      </c>
      <c r="J37" s="273">
        <f>TRUNC((I37*(1+$K$8)),2)</f>
        <v>2.63</v>
      </c>
      <c r="K37" s="273">
        <f t="shared" si="11"/>
        <v>28053.33</v>
      </c>
      <c r="L37" s="360">
        <f t="shared" si="7"/>
        <v>1.5048657106316616E-3</v>
      </c>
      <c r="N37" s="385"/>
    </row>
    <row r="38" spans="1:14">
      <c r="A38" s="257" t="s">
        <v>410</v>
      </c>
      <c r="B38" s="410">
        <v>83356</v>
      </c>
      <c r="C38" s="410" t="s">
        <v>20</v>
      </c>
      <c r="D38" s="258" t="s">
        <v>291</v>
      </c>
      <c r="E38" s="257" t="s">
        <v>287</v>
      </c>
      <c r="F38" s="411">
        <v>25356.400000000001</v>
      </c>
      <c r="G38" s="411">
        <f t="shared" si="9"/>
        <v>25356.400000000001</v>
      </c>
      <c r="H38" s="412">
        <f>K38/$K$111</f>
        <v>1.7818541943564851E-3</v>
      </c>
      <c r="I38" s="273">
        <f>I24</f>
        <v>1.0900000000000001</v>
      </c>
      <c r="J38" s="273">
        <f>TRUNC((I38*(1+$K$8)),2)</f>
        <v>1.31</v>
      </c>
      <c r="K38" s="273">
        <f t="shared" ref="K38" si="12">TRUNC((F38*J38),2)</f>
        <v>33216.879999999997</v>
      </c>
      <c r="L38" s="360">
        <f t="shared" si="7"/>
        <v>1.7818541943564851E-3</v>
      </c>
      <c r="N38" s="385"/>
    </row>
    <row r="39" spans="1:14">
      <c r="A39" s="417"/>
      <c r="B39" s="418"/>
      <c r="C39" s="418"/>
      <c r="D39" s="419"/>
      <c r="E39" s="257"/>
      <c r="F39" s="411"/>
      <c r="G39" s="411"/>
      <c r="H39" s="412"/>
      <c r="I39" s="273"/>
      <c r="J39" s="273"/>
      <c r="K39" s="420"/>
      <c r="L39" s="361"/>
      <c r="N39" s="385"/>
    </row>
    <row r="40" spans="1:14">
      <c r="A40" s="271"/>
      <c r="B40" s="388"/>
      <c r="C40" s="388"/>
      <c r="D40" s="310"/>
      <c r="E40" s="380"/>
      <c r="F40" s="277"/>
      <c r="G40" s="277"/>
      <c r="H40" s="311"/>
      <c r="I40" s="267"/>
      <c r="J40" s="267"/>
      <c r="K40" s="272"/>
      <c r="L40" s="361"/>
      <c r="N40" s="385"/>
    </row>
    <row r="41" spans="1:14" s="386" customFormat="1">
      <c r="A41" s="268" t="s">
        <v>335</v>
      </c>
      <c r="B41" s="390"/>
      <c r="C41" s="390"/>
      <c r="D41" s="309" t="s">
        <v>177</v>
      </c>
      <c r="E41" s="274"/>
      <c r="F41" s="276"/>
      <c r="G41" s="276"/>
      <c r="H41" s="318" t="e">
        <f>SUM(H42:H55)</f>
        <v>#REF!</v>
      </c>
      <c r="I41" s="269"/>
      <c r="J41" s="269"/>
      <c r="K41" s="270">
        <f>SUM(K42:K44)</f>
        <v>472514.4</v>
      </c>
      <c r="L41" s="359"/>
      <c r="N41" s="387"/>
    </row>
    <row r="42" spans="1:14">
      <c r="A42" s="257" t="s">
        <v>439</v>
      </c>
      <c r="B42" s="410">
        <v>96002</v>
      </c>
      <c r="C42" s="410" t="s">
        <v>20</v>
      </c>
      <c r="D42" s="258" t="s">
        <v>18</v>
      </c>
      <c r="E42" s="257" t="s">
        <v>9</v>
      </c>
      <c r="F42" s="411">
        <v>12400</v>
      </c>
      <c r="G42" s="411">
        <f t="shared" ref="G42:G44" si="13">TRUNC(F42,2)</f>
        <v>12400</v>
      </c>
      <c r="H42" s="412">
        <f>K42/$K$111</f>
        <v>6.997626385904239E-3</v>
      </c>
      <c r="I42" s="273">
        <f>'Composição Direta'!H96</f>
        <v>8.7199999999999989</v>
      </c>
      <c r="J42" s="273">
        <f>TRUNC((I42*(1+$K$8)),2)</f>
        <v>10.52</v>
      </c>
      <c r="K42" s="273">
        <f t="shared" ref="K42:K63" si="14">TRUNC((F42*J42),2)</f>
        <v>130448</v>
      </c>
      <c r="L42" s="360">
        <f t="shared" ref="L42:L44" si="15">K42/$K$111</f>
        <v>6.997626385904239E-3</v>
      </c>
      <c r="N42" s="385"/>
    </row>
    <row r="43" spans="1:14" ht="30">
      <c r="A43" s="257" t="s">
        <v>440</v>
      </c>
      <c r="B43" s="410">
        <v>97636</v>
      </c>
      <c r="C43" s="410" t="s">
        <v>20</v>
      </c>
      <c r="D43" s="258" t="s">
        <v>163</v>
      </c>
      <c r="E43" s="257" t="s">
        <v>9</v>
      </c>
      <c r="F43" s="411">
        <v>12400</v>
      </c>
      <c r="G43" s="411">
        <f t="shared" si="13"/>
        <v>12400</v>
      </c>
      <c r="H43" s="412">
        <f>K43/$K$111</f>
        <v>1.269816423069505E-2</v>
      </c>
      <c r="I43" s="273">
        <v>15.82</v>
      </c>
      <c r="J43" s="273">
        <f>TRUNC((I43*(1+$K$8)),2)</f>
        <v>19.09</v>
      </c>
      <c r="K43" s="273">
        <f t="shared" si="14"/>
        <v>236716</v>
      </c>
      <c r="L43" s="360">
        <f t="shared" si="15"/>
        <v>1.269816423069505E-2</v>
      </c>
      <c r="N43" s="385"/>
    </row>
    <row r="44" spans="1:14" ht="30">
      <c r="A44" s="257" t="s">
        <v>441</v>
      </c>
      <c r="B44" s="410">
        <v>95878</v>
      </c>
      <c r="C44" s="410" t="s">
        <v>20</v>
      </c>
      <c r="D44" s="258" t="s">
        <v>286</v>
      </c>
      <c r="E44" s="257" t="s">
        <v>10</v>
      </c>
      <c r="F44" s="411">
        <v>59520</v>
      </c>
      <c r="G44" s="411">
        <f t="shared" si="13"/>
        <v>59520</v>
      </c>
      <c r="H44" s="412">
        <f>K44/$K$111</f>
        <v>5.6513149975895832E-3</v>
      </c>
      <c r="I44" s="273">
        <f>I36</f>
        <v>1.47</v>
      </c>
      <c r="J44" s="273">
        <f>TRUNC((I44*(1+$K$8)),2)</f>
        <v>1.77</v>
      </c>
      <c r="K44" s="273">
        <f t="shared" si="14"/>
        <v>105350.39999999999</v>
      </c>
      <c r="L44" s="360">
        <f t="shared" si="15"/>
        <v>5.6513149975895832E-3</v>
      </c>
      <c r="N44" s="385"/>
    </row>
    <row r="45" spans="1:14">
      <c r="A45" s="380"/>
      <c r="B45" s="383"/>
      <c r="C45" s="383"/>
      <c r="D45" s="260"/>
      <c r="E45" s="380"/>
      <c r="F45" s="277"/>
      <c r="G45" s="277"/>
      <c r="H45" s="311"/>
      <c r="I45" s="267"/>
      <c r="J45" s="267"/>
      <c r="K45" s="267"/>
      <c r="L45" s="360"/>
      <c r="N45" s="385"/>
    </row>
    <row r="46" spans="1:14">
      <c r="A46" s="380"/>
      <c r="B46" s="383"/>
      <c r="C46" s="383"/>
      <c r="D46" s="260"/>
      <c r="E46" s="380"/>
      <c r="F46" s="277"/>
      <c r="G46" s="277"/>
      <c r="H46" s="311"/>
      <c r="I46" s="267"/>
      <c r="J46" s="267"/>
      <c r="K46" s="267"/>
      <c r="L46" s="360"/>
      <c r="N46" s="385"/>
    </row>
    <row r="47" spans="1:14">
      <c r="A47" s="268" t="s">
        <v>419</v>
      </c>
      <c r="B47" s="391"/>
      <c r="C47" s="392"/>
      <c r="D47" s="393" t="s">
        <v>496</v>
      </c>
      <c r="E47" s="274"/>
      <c r="F47" s="276"/>
      <c r="G47" s="276"/>
      <c r="H47" s="318" t="e">
        <f>#REF!+#REF!</f>
        <v>#REF!</v>
      </c>
      <c r="I47" s="269"/>
      <c r="J47" s="269"/>
      <c r="K47" s="270">
        <f>SUM(K48:K53)</f>
        <v>899744.14999999991</v>
      </c>
      <c r="L47" s="359"/>
      <c r="N47" s="385"/>
    </row>
    <row r="48" spans="1:14" ht="30">
      <c r="A48" s="257" t="s">
        <v>446</v>
      </c>
      <c r="B48" s="410">
        <v>100576</v>
      </c>
      <c r="C48" s="410" t="s">
        <v>20</v>
      </c>
      <c r="D48" s="258" t="s">
        <v>498</v>
      </c>
      <c r="E48" s="257" t="s">
        <v>9</v>
      </c>
      <c r="F48" s="411">
        <v>10666.666666666668</v>
      </c>
      <c r="G48" s="411">
        <f t="shared" ref="G48:G53" si="16">TRUNC(F48,2)</f>
        <v>10666.66</v>
      </c>
      <c r="H48" s="412"/>
      <c r="I48" s="273">
        <v>2.19</v>
      </c>
      <c r="J48" s="273">
        <f t="shared" ref="J48:J53" si="17">TRUNC((I48*(1+$K$8)),2)</f>
        <v>2.64</v>
      </c>
      <c r="K48" s="273">
        <f t="shared" ref="K48:K53" si="18">TRUNC((F48*J48),2)</f>
        <v>28160</v>
      </c>
      <c r="L48" s="360">
        <f t="shared" ref="L48:L53" si="19">K48/$K$111</f>
        <v>1.510587812975771E-3</v>
      </c>
      <c r="N48" s="385"/>
    </row>
    <row r="49" spans="1:14" ht="25.5">
      <c r="A49" s="257" t="s">
        <v>447</v>
      </c>
      <c r="B49" s="410">
        <v>96399</v>
      </c>
      <c r="C49" s="410" t="s">
        <v>20</v>
      </c>
      <c r="D49" s="415" t="s">
        <v>499</v>
      </c>
      <c r="E49" s="257" t="s">
        <v>137</v>
      </c>
      <c r="F49" s="411">
        <v>2446.2222222222226</v>
      </c>
      <c r="G49" s="411">
        <f t="shared" si="16"/>
        <v>2446.2199999999998</v>
      </c>
      <c r="H49" s="412"/>
      <c r="I49" s="273">
        <v>146.47999999999999</v>
      </c>
      <c r="J49" s="273">
        <f t="shared" si="17"/>
        <v>176.8</v>
      </c>
      <c r="K49" s="273">
        <f t="shared" si="18"/>
        <v>432492.08</v>
      </c>
      <c r="L49" s="360">
        <f t="shared" si="19"/>
        <v>2.3200186976439708E-2</v>
      </c>
      <c r="N49" s="385"/>
    </row>
    <row r="50" spans="1:14" s="256" customFormat="1">
      <c r="A50" s="257" t="s">
        <v>448</v>
      </c>
      <c r="B50" s="410">
        <v>96401</v>
      </c>
      <c r="C50" s="410" t="s">
        <v>20</v>
      </c>
      <c r="D50" s="416" t="s">
        <v>26</v>
      </c>
      <c r="E50" s="257" t="s">
        <v>137</v>
      </c>
      <c r="F50" s="411">
        <v>2133.3333333333335</v>
      </c>
      <c r="G50" s="411">
        <f t="shared" si="16"/>
        <v>2133.33</v>
      </c>
      <c r="H50" s="412"/>
      <c r="I50" s="430">
        <f>'Composição Direta'!H44</f>
        <v>7.65</v>
      </c>
      <c r="J50" s="273">
        <f t="shared" si="17"/>
        <v>9.23</v>
      </c>
      <c r="K50" s="273">
        <f t="shared" si="18"/>
        <v>19690.66</v>
      </c>
      <c r="L50" s="362">
        <f t="shared" si="19"/>
        <v>1.056266726756019E-3</v>
      </c>
      <c r="N50" s="259"/>
    </row>
    <row r="51" spans="1:14" ht="30">
      <c r="A51" s="257" t="s">
        <v>449</v>
      </c>
      <c r="B51" s="410" t="s">
        <v>23</v>
      </c>
      <c r="C51" s="410" t="s">
        <v>20</v>
      </c>
      <c r="D51" s="258" t="s">
        <v>27</v>
      </c>
      <c r="E51" s="257" t="s">
        <v>137</v>
      </c>
      <c r="F51" s="411">
        <v>10666.666666666668</v>
      </c>
      <c r="G51" s="411">
        <f t="shared" si="16"/>
        <v>10666.66</v>
      </c>
      <c r="H51" s="412"/>
      <c r="I51" s="430">
        <f>'Composição Direta'!H12</f>
        <v>1.83</v>
      </c>
      <c r="J51" s="273">
        <f t="shared" si="17"/>
        <v>2.2000000000000002</v>
      </c>
      <c r="K51" s="273">
        <f t="shared" si="18"/>
        <v>23466.66</v>
      </c>
      <c r="L51" s="360">
        <f t="shared" si="19"/>
        <v>1.2588228198595881E-3</v>
      </c>
      <c r="N51" s="385"/>
    </row>
    <row r="52" spans="1:14" ht="30">
      <c r="A52" s="257" t="s">
        <v>450</v>
      </c>
      <c r="B52" s="410">
        <v>72888</v>
      </c>
      <c r="C52" s="410" t="s">
        <v>20</v>
      </c>
      <c r="D52" s="258" t="s">
        <v>28</v>
      </c>
      <c r="E52" s="257" t="s">
        <v>8</v>
      </c>
      <c r="F52" s="411">
        <v>4501.0488888888895</v>
      </c>
      <c r="G52" s="411">
        <f t="shared" si="16"/>
        <v>4501.04</v>
      </c>
      <c r="H52" s="412"/>
      <c r="I52" s="430">
        <f>'Composição Direta'!H18</f>
        <v>1.26</v>
      </c>
      <c r="J52" s="273">
        <f t="shared" si="17"/>
        <v>1.52</v>
      </c>
      <c r="K52" s="273">
        <f t="shared" si="18"/>
        <v>6841.59</v>
      </c>
      <c r="L52" s="360">
        <f t="shared" si="19"/>
        <v>3.6700363904037305E-4</v>
      </c>
      <c r="N52" s="385"/>
    </row>
    <row r="53" spans="1:14">
      <c r="A53" s="257" t="s">
        <v>451</v>
      </c>
      <c r="B53" s="410">
        <v>95879</v>
      </c>
      <c r="C53" s="410" t="s">
        <v>20</v>
      </c>
      <c r="D53" s="258" t="s">
        <v>178</v>
      </c>
      <c r="E53" s="257" t="s">
        <v>10</v>
      </c>
      <c r="F53" s="411">
        <v>254309.26</v>
      </c>
      <c r="G53" s="411">
        <f t="shared" si="16"/>
        <v>254309.26</v>
      </c>
      <c r="H53" s="412"/>
      <c r="I53" s="273">
        <v>1.27</v>
      </c>
      <c r="J53" s="273">
        <f t="shared" si="17"/>
        <v>1.53</v>
      </c>
      <c r="K53" s="273">
        <f t="shared" si="18"/>
        <v>389093.16</v>
      </c>
      <c r="L53" s="360">
        <f t="shared" si="19"/>
        <v>2.0872137273019592E-2</v>
      </c>
      <c r="N53" s="385"/>
    </row>
    <row r="54" spans="1:14">
      <c r="A54" s="380"/>
      <c r="B54" s="383"/>
      <c r="C54" s="383"/>
      <c r="D54" s="260"/>
      <c r="E54" s="380"/>
      <c r="F54" s="277"/>
      <c r="G54" s="277"/>
      <c r="H54" s="311"/>
      <c r="I54" s="267"/>
      <c r="J54" s="267"/>
      <c r="K54" s="267"/>
      <c r="L54" s="360"/>
      <c r="N54" s="385"/>
    </row>
    <row r="55" spans="1:14">
      <c r="A55" s="380"/>
      <c r="B55" s="381"/>
      <c r="C55" s="381"/>
      <c r="D55" s="260"/>
      <c r="E55" s="380"/>
      <c r="F55" s="277"/>
      <c r="G55" s="277"/>
      <c r="H55" s="311"/>
      <c r="I55" s="267"/>
      <c r="J55" s="267"/>
      <c r="K55" s="267"/>
      <c r="L55" s="360"/>
      <c r="N55" s="385"/>
    </row>
    <row r="56" spans="1:14" s="386" customFormat="1">
      <c r="A56" s="268" t="s">
        <v>411</v>
      </c>
      <c r="B56" s="390"/>
      <c r="C56" s="390"/>
      <c r="D56" s="309" t="s">
        <v>497</v>
      </c>
      <c r="E56" s="274"/>
      <c r="F56" s="276"/>
      <c r="G56" s="276"/>
      <c r="H56" s="318">
        <f>SUM(H57:H64)</f>
        <v>2.2542623166292311E-2</v>
      </c>
      <c r="I56" s="269"/>
      <c r="J56" s="269"/>
      <c r="K56" s="270">
        <f>SUM(K57:K63)</f>
        <v>420233.94</v>
      </c>
      <c r="L56" s="359"/>
      <c r="N56" s="387"/>
    </row>
    <row r="57" spans="1:14" ht="30">
      <c r="A57" s="380" t="s">
        <v>412</v>
      </c>
      <c r="B57" s="383">
        <v>100576</v>
      </c>
      <c r="C57" s="383" t="s">
        <v>20</v>
      </c>
      <c r="D57" s="260" t="s">
        <v>498</v>
      </c>
      <c r="E57" s="380" t="s">
        <v>9</v>
      </c>
      <c r="F57" s="277">
        <v>13333.333333333334</v>
      </c>
      <c r="G57" s="277">
        <f t="shared" ref="G57:G63" si="20">TRUNC(F57,2)</f>
        <v>13333.33</v>
      </c>
      <c r="H57" s="311">
        <f t="shared" ref="H57:H63" si="21">K57/$K$111</f>
        <v>1.8882347662197137E-3</v>
      </c>
      <c r="I57" s="273">
        <f>I48</f>
        <v>2.19</v>
      </c>
      <c r="J57" s="267">
        <f>TRUNC((I57*(1+$K$8)),2)</f>
        <v>2.64</v>
      </c>
      <c r="K57" s="267">
        <f t="shared" si="14"/>
        <v>35200</v>
      </c>
      <c r="L57" s="360">
        <f t="shared" ref="L57:L63" si="22">K57/$K$111</f>
        <v>1.8882347662197137E-3</v>
      </c>
      <c r="N57" s="385"/>
    </row>
    <row r="58" spans="1:14" ht="25.5">
      <c r="A58" s="257" t="s">
        <v>413</v>
      </c>
      <c r="B58" s="410" t="s">
        <v>297</v>
      </c>
      <c r="C58" s="410" t="s">
        <v>21</v>
      </c>
      <c r="D58" s="424" t="s">
        <v>25</v>
      </c>
      <c r="E58" s="257" t="s">
        <v>137</v>
      </c>
      <c r="F58" s="411">
        <v>3057.7777777777783</v>
      </c>
      <c r="G58" s="411">
        <f t="shared" si="20"/>
        <v>3057.77</v>
      </c>
      <c r="H58" s="412">
        <f t="shared" si="21"/>
        <v>2.8360519093246325E-3</v>
      </c>
      <c r="I58" s="273">
        <v>15</v>
      </c>
      <c r="J58" s="273">
        <f>TRUNC((I58*(1+$K$9)),2)</f>
        <v>17.29</v>
      </c>
      <c r="K58" s="273">
        <f t="shared" si="14"/>
        <v>52868.97</v>
      </c>
      <c r="L58" s="360">
        <f t="shared" si="22"/>
        <v>2.8360519093246325E-3</v>
      </c>
      <c r="N58" s="385"/>
    </row>
    <row r="59" spans="1:14" ht="38.25">
      <c r="A59" s="257" t="s">
        <v>414</v>
      </c>
      <c r="B59" s="410">
        <v>96388</v>
      </c>
      <c r="C59" s="410" t="s">
        <v>20</v>
      </c>
      <c r="D59" s="415" t="s">
        <v>509</v>
      </c>
      <c r="E59" s="257" t="s">
        <v>137</v>
      </c>
      <c r="F59" s="411">
        <v>2666.666666666667</v>
      </c>
      <c r="G59" s="411">
        <f t="shared" si="20"/>
        <v>2666.66</v>
      </c>
      <c r="H59" s="412">
        <f t="shared" si="21"/>
        <v>1.793823027908728E-3</v>
      </c>
      <c r="I59" s="273">
        <v>10.39</v>
      </c>
      <c r="J59" s="273">
        <f>TRUNC((I59*(1+$K$8)),2)</f>
        <v>12.54</v>
      </c>
      <c r="K59" s="273">
        <f t="shared" si="14"/>
        <v>33440</v>
      </c>
      <c r="L59" s="360">
        <f t="shared" si="22"/>
        <v>1.793823027908728E-3</v>
      </c>
      <c r="N59" s="385"/>
    </row>
    <row r="60" spans="1:14" s="256" customFormat="1">
      <c r="A60" s="257" t="s">
        <v>442</v>
      </c>
      <c r="B60" s="410">
        <v>96401</v>
      </c>
      <c r="C60" s="410" t="s">
        <v>20</v>
      </c>
      <c r="D60" s="416" t="s">
        <v>26</v>
      </c>
      <c r="E60" s="257" t="s">
        <v>137</v>
      </c>
      <c r="F60" s="411">
        <v>13333.333333333334</v>
      </c>
      <c r="G60" s="411">
        <f t="shared" si="20"/>
        <v>13333.33</v>
      </c>
      <c r="H60" s="412">
        <f t="shared" si="21"/>
        <v>6.6016689197312788E-3</v>
      </c>
      <c r="I60" s="273">
        <f>I50</f>
        <v>7.65</v>
      </c>
      <c r="J60" s="273">
        <f>TRUNC((I60*(1+$K$8)),2)</f>
        <v>9.23</v>
      </c>
      <c r="K60" s="273">
        <f t="shared" si="14"/>
        <v>123066.66</v>
      </c>
      <c r="L60" s="362">
        <f t="shared" si="22"/>
        <v>6.6016689197312788E-3</v>
      </c>
      <c r="N60" s="259"/>
    </row>
    <row r="61" spans="1:14" ht="30">
      <c r="A61" s="257" t="s">
        <v>443</v>
      </c>
      <c r="B61" s="410" t="s">
        <v>23</v>
      </c>
      <c r="C61" s="410" t="s">
        <v>20</v>
      </c>
      <c r="D61" s="258" t="s">
        <v>27</v>
      </c>
      <c r="E61" s="257" t="s">
        <v>137</v>
      </c>
      <c r="F61" s="411">
        <v>3057.7777777777783</v>
      </c>
      <c r="G61" s="411">
        <f t="shared" si="20"/>
        <v>3057.77</v>
      </c>
      <c r="H61" s="412">
        <f t="shared" si="21"/>
        <v>3.6086258460750844E-4</v>
      </c>
      <c r="I61" s="273">
        <f>'Composição Direta'!H12</f>
        <v>1.83</v>
      </c>
      <c r="J61" s="273">
        <f>TRUNC((I61*(1+$K$8)),2)</f>
        <v>2.2000000000000002</v>
      </c>
      <c r="K61" s="273">
        <f t="shared" si="14"/>
        <v>6727.11</v>
      </c>
      <c r="L61" s="360">
        <f t="shared" si="22"/>
        <v>3.6086258460750844E-4</v>
      </c>
      <c r="N61" s="385"/>
    </row>
    <row r="62" spans="1:14" ht="30">
      <c r="A62" s="257" t="s">
        <v>444</v>
      </c>
      <c r="B62" s="410">
        <v>72888</v>
      </c>
      <c r="C62" s="410" t="s">
        <v>20</v>
      </c>
      <c r="D62" s="258" t="s">
        <v>28</v>
      </c>
      <c r="E62" s="257" t="s">
        <v>8</v>
      </c>
      <c r="F62" s="411">
        <v>5259.3777777777786</v>
      </c>
      <c r="G62" s="411">
        <f t="shared" si="20"/>
        <v>5259.37</v>
      </c>
      <c r="H62" s="412">
        <f t="shared" si="21"/>
        <v>4.2883581760943027E-4</v>
      </c>
      <c r="I62" s="273">
        <f>'Composição Direta'!H18</f>
        <v>1.26</v>
      </c>
      <c r="J62" s="273">
        <f>TRUNC((I62*(1+$K$8)),2)</f>
        <v>1.52</v>
      </c>
      <c r="K62" s="273">
        <f t="shared" si="14"/>
        <v>7994.25</v>
      </c>
      <c r="L62" s="360">
        <f t="shared" si="22"/>
        <v>4.2883581760943027E-4</v>
      </c>
      <c r="N62" s="385"/>
    </row>
    <row r="63" spans="1:14">
      <c r="A63" s="257" t="s">
        <v>445</v>
      </c>
      <c r="B63" s="410">
        <v>95879</v>
      </c>
      <c r="C63" s="410" t="s">
        <v>20</v>
      </c>
      <c r="D63" s="258" t="s">
        <v>178</v>
      </c>
      <c r="E63" s="257" t="s">
        <v>10</v>
      </c>
      <c r="F63" s="411">
        <v>105187.55</v>
      </c>
      <c r="G63" s="411">
        <f t="shared" si="20"/>
        <v>105187.55</v>
      </c>
      <c r="H63" s="412">
        <f t="shared" si="21"/>
        <v>8.6331461408910171E-3</v>
      </c>
      <c r="I63" s="273">
        <f>I53</f>
        <v>1.27</v>
      </c>
      <c r="J63" s="273">
        <f>TRUNC((I63*(1+$K$8)),2)</f>
        <v>1.53</v>
      </c>
      <c r="K63" s="273">
        <f t="shared" si="14"/>
        <v>160936.95000000001</v>
      </c>
      <c r="L63" s="360">
        <f t="shared" si="22"/>
        <v>8.6331461408910171E-3</v>
      </c>
      <c r="N63" s="385"/>
    </row>
    <row r="64" spans="1:14">
      <c r="A64" s="380"/>
      <c r="B64" s="381"/>
      <c r="C64" s="381"/>
      <c r="D64" s="260"/>
      <c r="E64" s="380"/>
      <c r="F64" s="277"/>
      <c r="G64" s="277"/>
      <c r="H64" s="311"/>
      <c r="I64" s="267"/>
      <c r="J64" s="267"/>
      <c r="K64" s="267"/>
      <c r="L64" s="360"/>
      <c r="N64" s="385"/>
    </row>
    <row r="65" spans="1:14" s="386" customFormat="1">
      <c r="A65" s="268" t="s">
        <v>415</v>
      </c>
      <c r="B65" s="391"/>
      <c r="C65" s="392"/>
      <c r="D65" s="393" t="s">
        <v>29</v>
      </c>
      <c r="E65" s="274"/>
      <c r="F65" s="276"/>
      <c r="G65" s="276"/>
      <c r="H65" s="318">
        <f>SUM(H66:H69)</f>
        <v>0.1070368187369124</v>
      </c>
      <c r="I65" s="269"/>
      <c r="J65" s="269"/>
      <c r="K65" s="270">
        <f>SUM(K66:K69)</f>
        <v>1995353.5899999999</v>
      </c>
      <c r="L65" s="359"/>
      <c r="N65" s="387"/>
    </row>
    <row r="66" spans="1:14" ht="30">
      <c r="A66" s="257" t="s">
        <v>416</v>
      </c>
      <c r="B66" s="413">
        <v>94267</v>
      </c>
      <c r="C66" s="410" t="s">
        <v>20</v>
      </c>
      <c r="D66" s="258" t="s">
        <v>140</v>
      </c>
      <c r="E66" s="257" t="s">
        <v>24</v>
      </c>
      <c r="F66" s="411">
        <v>11000</v>
      </c>
      <c r="G66" s="411">
        <f t="shared" ref="G66:G68" si="23">TRUNC(F66,2)</f>
        <v>11000</v>
      </c>
      <c r="H66" s="412">
        <f t="shared" ref="H66:H68" si="24">K66/$K$111</f>
        <v>4.6674803127493551E-2</v>
      </c>
      <c r="I66" s="273">
        <v>65.540000000000006</v>
      </c>
      <c r="J66" s="273">
        <f>TRUNC((I66*(1+$K$8)),2)</f>
        <v>79.099999999999994</v>
      </c>
      <c r="K66" s="273">
        <f t="shared" ref="K66" si="25">TRUNC((F66*J66),2)</f>
        <v>870100</v>
      </c>
      <c r="L66" s="360">
        <f t="shared" ref="L66:L68" si="26">K66/$K$111</f>
        <v>4.6674803127493551E-2</v>
      </c>
      <c r="N66" s="385"/>
    </row>
    <row r="67" spans="1:14" s="384" customFormat="1" ht="15.75" customHeight="1">
      <c r="A67" s="257" t="s">
        <v>417</v>
      </c>
      <c r="B67" s="413">
        <v>83661</v>
      </c>
      <c r="C67" s="410" t="s">
        <v>20</v>
      </c>
      <c r="D67" s="414" t="s">
        <v>296</v>
      </c>
      <c r="E67" s="257" t="s">
        <v>24</v>
      </c>
      <c r="F67" s="411">
        <v>4571.4285714285716</v>
      </c>
      <c r="G67" s="411">
        <f t="shared" si="23"/>
        <v>4571.42</v>
      </c>
      <c r="H67" s="412">
        <f t="shared" si="24"/>
        <v>4.9199550568368965E-2</v>
      </c>
      <c r="I67" s="273">
        <f>'Composição Direta'!H129</f>
        <v>166.22</v>
      </c>
      <c r="J67" s="273">
        <f>TRUNC((I67*(1+$K$8)),2)</f>
        <v>200.63</v>
      </c>
      <c r="K67" s="273">
        <f t="shared" ref="K67" si="27">TRUNC((F67*J67),2)</f>
        <v>917165.71</v>
      </c>
      <c r="L67" s="360">
        <f t="shared" si="26"/>
        <v>4.9199550568368965E-2</v>
      </c>
      <c r="N67" s="389"/>
    </row>
    <row r="68" spans="1:14" ht="15.75" customHeight="1">
      <c r="A68" s="257" t="s">
        <v>418</v>
      </c>
      <c r="B68" s="413">
        <v>83356</v>
      </c>
      <c r="C68" s="410" t="s">
        <v>20</v>
      </c>
      <c r="D68" s="258" t="s">
        <v>291</v>
      </c>
      <c r="E68" s="257" t="s">
        <v>287</v>
      </c>
      <c r="F68" s="411">
        <v>158845.71</v>
      </c>
      <c r="G68" s="411">
        <f t="shared" si="23"/>
        <v>158845.71</v>
      </c>
      <c r="H68" s="412">
        <f t="shared" si="24"/>
        <v>1.1162465041049882E-2</v>
      </c>
      <c r="I68" s="273">
        <f>I38</f>
        <v>1.0900000000000001</v>
      </c>
      <c r="J68" s="273">
        <f>TRUNC((I68*(1+$K$8)),2)</f>
        <v>1.31</v>
      </c>
      <c r="K68" s="273">
        <f t="shared" ref="K68" si="28">TRUNC((F68*J68),2)</f>
        <v>208087.88</v>
      </c>
      <c r="L68" s="360">
        <f t="shared" si="26"/>
        <v>1.1162465041049882E-2</v>
      </c>
      <c r="N68" s="385"/>
    </row>
    <row r="69" spans="1:14" ht="15.75" customHeight="1">
      <c r="A69" s="257"/>
      <c r="B69" s="413"/>
      <c r="C69" s="410"/>
      <c r="D69" s="258"/>
      <c r="E69" s="257"/>
      <c r="F69" s="411"/>
      <c r="G69" s="411"/>
      <c r="H69" s="412"/>
      <c r="I69" s="273"/>
      <c r="J69" s="273"/>
      <c r="K69" s="273"/>
      <c r="L69" s="360"/>
      <c r="N69" s="385"/>
    </row>
    <row r="70" spans="1:14" ht="15.75" customHeight="1">
      <c r="A70" s="268" t="s">
        <v>419</v>
      </c>
      <c r="B70" s="391"/>
      <c r="C70" s="392"/>
      <c r="D70" s="393" t="s">
        <v>397</v>
      </c>
      <c r="E70" s="274"/>
      <c r="F70" s="276"/>
      <c r="G70" s="276"/>
      <c r="H70" s="318">
        <f>H71+H85</f>
        <v>4.968827936889976E-2</v>
      </c>
      <c r="I70" s="269"/>
      <c r="J70" s="269"/>
      <c r="K70" s="270">
        <f>K71+K85</f>
        <v>926276.47000000009</v>
      </c>
      <c r="L70" s="359"/>
      <c r="N70" s="385"/>
    </row>
    <row r="71" spans="1:14" ht="15.75" customHeight="1">
      <c r="A71" s="274" t="s">
        <v>420</v>
      </c>
      <c r="B71" s="395"/>
      <c r="C71" s="392"/>
      <c r="D71" s="396" t="s">
        <v>371</v>
      </c>
      <c r="E71" s="274"/>
      <c r="F71" s="276"/>
      <c r="G71" s="276"/>
      <c r="H71" s="317">
        <f>SUM(H72:H84)</f>
        <v>3.6825985159024043E-2</v>
      </c>
      <c r="I71" s="269"/>
      <c r="J71" s="269"/>
      <c r="K71" s="269">
        <f>SUM(K72:K84)</f>
        <v>686500.8</v>
      </c>
      <c r="L71" s="358"/>
      <c r="N71" s="385"/>
    </row>
    <row r="72" spans="1:14" ht="45">
      <c r="A72" s="257" t="s">
        <v>446</v>
      </c>
      <c r="B72" s="413">
        <v>90091</v>
      </c>
      <c r="C72" s="410" t="s">
        <v>20</v>
      </c>
      <c r="D72" s="258" t="s">
        <v>354</v>
      </c>
      <c r="E72" s="257" t="s">
        <v>137</v>
      </c>
      <c r="F72" s="411">
        <v>1661.9703600000003</v>
      </c>
      <c r="G72" s="411">
        <f t="shared" ref="G72:G83" si="29">TRUNC(F72,2)</f>
        <v>1661.97</v>
      </c>
      <c r="H72" s="412">
        <f t="shared" ref="H72:H83" si="30">K72/$K$111</f>
        <v>5.7325412783569086E-4</v>
      </c>
      <c r="I72" s="430">
        <v>5.33</v>
      </c>
      <c r="J72" s="273">
        <f t="shared" ref="J72:J83" si="31">TRUNC((I72*(1+$K$8)),2)</f>
        <v>6.43</v>
      </c>
      <c r="K72" s="273">
        <f t="shared" ref="K72:K82" si="32">TRUNC((F72*J72),2)</f>
        <v>10686.46</v>
      </c>
      <c r="L72" s="360">
        <f t="shared" ref="L72:L83" si="33">K72/$K$111</f>
        <v>5.7325412783569086E-4</v>
      </c>
      <c r="N72" s="385"/>
    </row>
    <row r="73" spans="1:14">
      <c r="A73" s="257" t="s">
        <v>447</v>
      </c>
      <c r="B73" s="413" t="s">
        <v>493</v>
      </c>
      <c r="C73" s="410" t="s">
        <v>20</v>
      </c>
      <c r="D73" s="258" t="s">
        <v>361</v>
      </c>
      <c r="E73" s="257" t="s">
        <v>19</v>
      </c>
      <c r="F73" s="411">
        <v>257.17855999999995</v>
      </c>
      <c r="G73" s="411">
        <f t="shared" si="29"/>
        <v>257.17</v>
      </c>
      <c r="H73" s="412">
        <f t="shared" si="30"/>
        <v>1.7722129320118074E-3</v>
      </c>
      <c r="I73" s="430">
        <f>'Composição Direta'!H165</f>
        <v>106.43</v>
      </c>
      <c r="J73" s="273">
        <f t="shared" si="31"/>
        <v>128.46</v>
      </c>
      <c r="K73" s="273">
        <f t="shared" si="32"/>
        <v>33037.15</v>
      </c>
      <c r="L73" s="360">
        <f t="shared" si="33"/>
        <v>1.7722129320118074E-3</v>
      </c>
      <c r="N73" s="385"/>
    </row>
    <row r="74" spans="1:14">
      <c r="A74" s="257" t="s">
        <v>448</v>
      </c>
      <c r="B74" s="413">
        <v>94097</v>
      </c>
      <c r="C74" s="410" t="s">
        <v>20</v>
      </c>
      <c r="D74" s="258" t="s">
        <v>362</v>
      </c>
      <c r="E74" s="257" t="s">
        <v>22</v>
      </c>
      <c r="F74" s="411">
        <v>1257.5999999999999</v>
      </c>
      <c r="G74" s="411">
        <f t="shared" si="29"/>
        <v>1257.5999999999999</v>
      </c>
      <c r="H74" s="412">
        <f t="shared" si="30"/>
        <v>4.5941234649423817E-4</v>
      </c>
      <c r="I74" s="430">
        <f>'Composição Direta'!H53</f>
        <v>5.6499999999999995</v>
      </c>
      <c r="J74" s="273">
        <f t="shared" si="31"/>
        <v>6.81</v>
      </c>
      <c r="K74" s="273">
        <f t="shared" si="32"/>
        <v>8564.25</v>
      </c>
      <c r="L74" s="360">
        <f t="shared" si="33"/>
        <v>4.5941234649423817E-4</v>
      </c>
      <c r="N74" s="385"/>
    </row>
    <row r="75" spans="1:14">
      <c r="A75" s="257" t="s">
        <v>449</v>
      </c>
      <c r="B75" s="413">
        <v>94103</v>
      </c>
      <c r="C75" s="410" t="s">
        <v>20</v>
      </c>
      <c r="D75" s="258" t="s">
        <v>363</v>
      </c>
      <c r="E75" s="257" t="s">
        <v>19</v>
      </c>
      <c r="F75" s="411">
        <v>125.75999999999999</v>
      </c>
      <c r="G75" s="411">
        <f t="shared" si="29"/>
        <v>125.76</v>
      </c>
      <c r="H75" s="412">
        <f t="shared" si="30"/>
        <v>2.4656494477050634E-3</v>
      </c>
      <c r="I75" s="430">
        <f>'Composição Direta'!H63</f>
        <v>302.81</v>
      </c>
      <c r="J75" s="273">
        <f t="shared" si="31"/>
        <v>365.49</v>
      </c>
      <c r="K75" s="273">
        <f t="shared" si="32"/>
        <v>45964.02</v>
      </c>
      <c r="L75" s="360">
        <f t="shared" si="33"/>
        <v>2.4656494477050634E-3</v>
      </c>
      <c r="N75" s="385"/>
    </row>
    <row r="76" spans="1:14" ht="45">
      <c r="A76" s="257" t="s">
        <v>450</v>
      </c>
      <c r="B76" s="413">
        <v>93381</v>
      </c>
      <c r="C76" s="410" t="s">
        <v>20</v>
      </c>
      <c r="D76" s="258" t="s">
        <v>364</v>
      </c>
      <c r="E76" s="257" t="s">
        <v>19</v>
      </c>
      <c r="F76" s="411">
        <v>1187.4577136000003</v>
      </c>
      <c r="G76" s="411">
        <f t="shared" si="29"/>
        <v>1187.45</v>
      </c>
      <c r="H76" s="412">
        <f t="shared" si="30"/>
        <v>6.529129591749225E-4</v>
      </c>
      <c r="I76" s="430">
        <v>8.5</v>
      </c>
      <c r="J76" s="273">
        <f t="shared" si="31"/>
        <v>10.25</v>
      </c>
      <c r="K76" s="273">
        <f t="shared" si="32"/>
        <v>12171.44</v>
      </c>
      <c r="L76" s="360">
        <f t="shared" si="33"/>
        <v>6.529129591749225E-4</v>
      </c>
      <c r="N76" s="385"/>
    </row>
    <row r="77" spans="1:14" ht="30">
      <c r="A77" s="257" t="s">
        <v>451</v>
      </c>
      <c r="B77" s="413">
        <v>74010</v>
      </c>
      <c r="C77" s="410" t="s">
        <v>20</v>
      </c>
      <c r="D77" s="258" t="s">
        <v>365</v>
      </c>
      <c r="E77" s="257" t="s">
        <v>19</v>
      </c>
      <c r="F77" s="411">
        <v>731.69120639999994</v>
      </c>
      <c r="G77" s="411">
        <f t="shared" si="29"/>
        <v>731.69</v>
      </c>
      <c r="H77" s="412">
        <f t="shared" si="30"/>
        <v>9.3022383752886515E-5</v>
      </c>
      <c r="I77" s="430">
        <f>'Composição Direta'!H71</f>
        <v>1.97</v>
      </c>
      <c r="J77" s="273">
        <f t="shared" si="31"/>
        <v>2.37</v>
      </c>
      <c r="K77" s="273">
        <f t="shared" si="32"/>
        <v>1734.1</v>
      </c>
      <c r="L77" s="360">
        <f t="shared" si="33"/>
        <v>9.3022383752886515E-5</v>
      </c>
      <c r="N77" s="385"/>
    </row>
    <row r="78" spans="1:14">
      <c r="A78" s="257" t="s">
        <v>452</v>
      </c>
      <c r="B78" s="413">
        <v>83344</v>
      </c>
      <c r="C78" s="410" t="s">
        <v>20</v>
      </c>
      <c r="D78" s="258" t="s">
        <v>366</v>
      </c>
      <c r="E78" s="257" t="s">
        <v>19</v>
      </c>
      <c r="F78" s="411">
        <v>731.69120639999994</v>
      </c>
      <c r="G78" s="411">
        <f t="shared" si="29"/>
        <v>731.69</v>
      </c>
      <c r="H78" s="412">
        <f t="shared" si="30"/>
        <v>5.338018226889878E-5</v>
      </c>
      <c r="I78" s="430">
        <f>'Composição Direta'!H78</f>
        <v>1.1299999999999999</v>
      </c>
      <c r="J78" s="273">
        <f t="shared" si="31"/>
        <v>1.36</v>
      </c>
      <c r="K78" s="273">
        <f t="shared" si="32"/>
        <v>995.1</v>
      </c>
      <c r="L78" s="360">
        <f t="shared" si="33"/>
        <v>5.338018226889878E-5</v>
      </c>
      <c r="N78" s="385"/>
    </row>
    <row r="79" spans="1:14" ht="45">
      <c r="A79" s="257" t="s">
        <v>453</v>
      </c>
      <c r="B79" s="413">
        <v>92212</v>
      </c>
      <c r="C79" s="410" t="s">
        <v>20</v>
      </c>
      <c r="D79" s="258" t="s">
        <v>525</v>
      </c>
      <c r="E79" s="257" t="s">
        <v>24</v>
      </c>
      <c r="F79" s="411">
        <v>240</v>
      </c>
      <c r="G79" s="411">
        <f t="shared" si="29"/>
        <v>240</v>
      </c>
      <c r="H79" s="412">
        <f t="shared" si="30"/>
        <v>4.7486958649100549E-3</v>
      </c>
      <c r="I79" s="430">
        <v>305.58999999999997</v>
      </c>
      <c r="J79" s="273">
        <f t="shared" si="31"/>
        <v>368.85</v>
      </c>
      <c r="K79" s="273">
        <f t="shared" si="32"/>
        <v>88524</v>
      </c>
      <c r="L79" s="360">
        <f t="shared" si="33"/>
        <v>4.7486958649100549E-3</v>
      </c>
      <c r="N79" s="385"/>
    </row>
    <row r="80" spans="1:14" ht="45">
      <c r="A80" s="380" t="s">
        <v>454</v>
      </c>
      <c r="B80" s="394">
        <v>92214</v>
      </c>
      <c r="C80" s="383" t="s">
        <v>20</v>
      </c>
      <c r="D80" s="260" t="s">
        <v>526</v>
      </c>
      <c r="E80" s="380" t="s">
        <v>24</v>
      </c>
      <c r="F80" s="406">
        <v>240</v>
      </c>
      <c r="G80" s="406">
        <f t="shared" si="29"/>
        <v>240</v>
      </c>
      <c r="H80" s="407">
        <f t="shared" si="30"/>
        <v>7.5725509577916367E-3</v>
      </c>
      <c r="I80" s="408">
        <v>487.31</v>
      </c>
      <c r="J80" s="408">
        <f t="shared" si="31"/>
        <v>588.19000000000005</v>
      </c>
      <c r="K80" s="408">
        <f t="shared" si="32"/>
        <v>141165.6</v>
      </c>
      <c r="L80" s="360">
        <f t="shared" si="33"/>
        <v>7.5725509577916367E-3</v>
      </c>
      <c r="N80" s="385"/>
    </row>
    <row r="81" spans="1:14" ht="45">
      <c r="A81" s="380" t="s">
        <v>455</v>
      </c>
      <c r="B81" s="394">
        <v>92216</v>
      </c>
      <c r="C81" s="383" t="s">
        <v>20</v>
      </c>
      <c r="D81" s="260" t="s">
        <v>527</v>
      </c>
      <c r="E81" s="380" t="s">
        <v>24</v>
      </c>
      <c r="F81" s="406">
        <v>160</v>
      </c>
      <c r="G81" s="406">
        <f t="shared" si="29"/>
        <v>160</v>
      </c>
      <c r="H81" s="407">
        <f t="shared" si="30"/>
        <v>6.0698164848662795E-3</v>
      </c>
      <c r="I81" s="408">
        <v>585.91</v>
      </c>
      <c r="J81" s="408">
        <f t="shared" si="31"/>
        <v>707.2</v>
      </c>
      <c r="K81" s="408">
        <f t="shared" si="32"/>
        <v>113152</v>
      </c>
      <c r="L81" s="360">
        <f t="shared" si="33"/>
        <v>6.0698164848662795E-3</v>
      </c>
      <c r="N81" s="385"/>
    </row>
    <row r="82" spans="1:14" ht="45">
      <c r="A82" s="380" t="s">
        <v>456</v>
      </c>
      <c r="B82" s="394">
        <v>92816</v>
      </c>
      <c r="C82" s="383" t="s">
        <v>20</v>
      </c>
      <c r="D82" s="260" t="s">
        <v>528</v>
      </c>
      <c r="E82" s="380" t="s">
        <v>24</v>
      </c>
      <c r="F82" s="406">
        <v>160</v>
      </c>
      <c r="G82" s="406">
        <f t="shared" si="29"/>
        <v>160</v>
      </c>
      <c r="H82" s="407">
        <f t="shared" si="30"/>
        <v>8.7542855204596429E-3</v>
      </c>
      <c r="I82" s="408">
        <v>845.03</v>
      </c>
      <c r="J82" s="408">
        <f t="shared" si="31"/>
        <v>1019.97</v>
      </c>
      <c r="K82" s="408">
        <f t="shared" si="32"/>
        <v>163195.20000000001</v>
      </c>
      <c r="L82" s="360">
        <f t="shared" si="33"/>
        <v>8.7542855204596429E-3</v>
      </c>
      <c r="N82" s="385"/>
    </row>
    <row r="83" spans="1:14" ht="30">
      <c r="A83" s="380" t="s">
        <v>457</v>
      </c>
      <c r="B83" s="394">
        <v>95878</v>
      </c>
      <c r="C83" s="383" t="s">
        <v>20</v>
      </c>
      <c r="D83" s="260" t="s">
        <v>286</v>
      </c>
      <c r="E83" s="380" t="s">
        <v>10</v>
      </c>
      <c r="F83" s="277">
        <v>38029.089999999997</v>
      </c>
      <c r="G83" s="277">
        <f t="shared" si="29"/>
        <v>38029.089999999997</v>
      </c>
      <c r="H83" s="311">
        <f t="shared" si="30"/>
        <v>3.6107919517529242E-3</v>
      </c>
      <c r="I83" s="273">
        <f>I44</f>
        <v>1.47</v>
      </c>
      <c r="J83" s="267">
        <f t="shared" si="31"/>
        <v>1.77</v>
      </c>
      <c r="K83" s="267">
        <f t="shared" ref="K83" si="34">TRUNC((F83*J83),2)</f>
        <v>67311.48</v>
      </c>
      <c r="L83" s="360">
        <f t="shared" si="33"/>
        <v>3.6107919517529242E-3</v>
      </c>
      <c r="N83" s="385"/>
    </row>
    <row r="84" spans="1:14">
      <c r="A84" s="380"/>
      <c r="B84" s="394"/>
      <c r="C84" s="383"/>
      <c r="D84" s="260"/>
      <c r="E84" s="380"/>
      <c r="F84" s="277"/>
      <c r="G84" s="277"/>
      <c r="H84" s="311"/>
      <c r="I84" s="267"/>
      <c r="J84" s="267"/>
      <c r="K84" s="267"/>
      <c r="L84" s="360"/>
      <c r="N84" s="385"/>
    </row>
    <row r="85" spans="1:14">
      <c r="A85" s="274" t="s">
        <v>421</v>
      </c>
      <c r="B85" s="395"/>
      <c r="C85" s="392"/>
      <c r="D85" s="396" t="s">
        <v>372</v>
      </c>
      <c r="E85" s="274"/>
      <c r="F85" s="276"/>
      <c r="G85" s="276"/>
      <c r="H85" s="317">
        <f>SUM(H86:H97)</f>
        <v>1.2862294209875717E-2</v>
      </c>
      <c r="I85" s="269"/>
      <c r="J85" s="269"/>
      <c r="K85" s="269">
        <f>SUM(K86:K97)</f>
        <v>239775.67</v>
      </c>
      <c r="L85" s="358"/>
      <c r="N85" s="385"/>
    </row>
    <row r="86" spans="1:14" ht="45">
      <c r="A86" s="380" t="s">
        <v>458</v>
      </c>
      <c r="B86" s="394">
        <v>90091</v>
      </c>
      <c r="C86" s="383" t="s">
        <v>20</v>
      </c>
      <c r="D86" s="260" t="s">
        <v>354</v>
      </c>
      <c r="E86" s="380" t="s">
        <v>19</v>
      </c>
      <c r="F86" s="277">
        <v>27.640000000000022</v>
      </c>
      <c r="G86" s="277">
        <f t="shared" ref="G86:G96" si="35">TRUNC(F86,2)</f>
        <v>27.64</v>
      </c>
      <c r="H86" s="311">
        <f t="shared" ref="H86:H96" si="36">K86/$K$111</f>
        <v>9.5334398480843041E-6</v>
      </c>
      <c r="I86" s="430">
        <f>I72</f>
        <v>5.33</v>
      </c>
      <c r="J86" s="267">
        <f t="shared" ref="J86:J96" si="37">TRUNC((I86*(1+$K$8)),2)</f>
        <v>6.43</v>
      </c>
      <c r="K86" s="267">
        <f t="shared" ref="K86:K93" si="38">TRUNC((F86*J86),2)</f>
        <v>177.72</v>
      </c>
      <c r="L86" s="360">
        <f t="shared" ref="L86:L96" si="39">K86/$K$111</f>
        <v>9.5334398480843041E-6</v>
      </c>
      <c r="N86" s="385"/>
    </row>
    <row r="87" spans="1:14">
      <c r="A87" s="257" t="s">
        <v>459</v>
      </c>
      <c r="B87" s="413" t="s">
        <v>493</v>
      </c>
      <c r="C87" s="410" t="s">
        <v>20</v>
      </c>
      <c r="D87" s="258" t="s">
        <v>361</v>
      </c>
      <c r="E87" s="257" t="s">
        <v>19</v>
      </c>
      <c r="F87" s="411">
        <v>79.239999999999981</v>
      </c>
      <c r="G87" s="411">
        <f t="shared" si="35"/>
        <v>79.239999999999995</v>
      </c>
      <c r="H87" s="412">
        <f t="shared" si="36"/>
        <v>5.4604155355854323E-4</v>
      </c>
      <c r="I87" s="430">
        <f>'Composição Direta'!H165</f>
        <v>106.43</v>
      </c>
      <c r="J87" s="273">
        <f t="shared" si="37"/>
        <v>128.46</v>
      </c>
      <c r="K87" s="273">
        <f t="shared" si="38"/>
        <v>10179.17</v>
      </c>
      <c r="L87" s="360">
        <f t="shared" si="39"/>
        <v>5.4604155355854323E-4</v>
      </c>
      <c r="N87" s="385"/>
    </row>
    <row r="88" spans="1:14">
      <c r="A88" s="257" t="s">
        <v>460</v>
      </c>
      <c r="B88" s="413">
        <v>94097</v>
      </c>
      <c r="C88" s="410" t="s">
        <v>20</v>
      </c>
      <c r="D88" s="258" t="s">
        <v>362</v>
      </c>
      <c r="E88" s="257" t="s">
        <v>22</v>
      </c>
      <c r="F88" s="411">
        <v>102.24</v>
      </c>
      <c r="G88" s="411">
        <f t="shared" si="35"/>
        <v>102.24</v>
      </c>
      <c r="H88" s="412">
        <f t="shared" si="36"/>
        <v>3.7348961817627153E-5</v>
      </c>
      <c r="I88" s="430">
        <f>'Composição Direta'!H53</f>
        <v>5.6499999999999995</v>
      </c>
      <c r="J88" s="273">
        <f t="shared" si="37"/>
        <v>6.81</v>
      </c>
      <c r="K88" s="273">
        <f t="shared" si="38"/>
        <v>696.25</v>
      </c>
      <c r="L88" s="360">
        <f t="shared" si="39"/>
        <v>3.7348961817627153E-5</v>
      </c>
      <c r="N88" s="385"/>
    </row>
    <row r="89" spans="1:14" ht="45">
      <c r="A89" s="257" t="s">
        <v>461</v>
      </c>
      <c r="B89" s="413">
        <v>93381</v>
      </c>
      <c r="C89" s="410" t="s">
        <v>20</v>
      </c>
      <c r="D89" s="258" t="s">
        <v>364</v>
      </c>
      <c r="E89" s="257" t="s">
        <v>19</v>
      </c>
      <c r="F89" s="411">
        <v>35.568000000000026</v>
      </c>
      <c r="G89" s="411">
        <f t="shared" si="35"/>
        <v>35.56</v>
      </c>
      <c r="H89" s="412">
        <f t="shared" si="36"/>
        <v>1.9556640588656847E-5</v>
      </c>
      <c r="I89" s="430">
        <f>I76</f>
        <v>8.5</v>
      </c>
      <c r="J89" s="273">
        <f t="shared" si="37"/>
        <v>10.25</v>
      </c>
      <c r="K89" s="273">
        <f t="shared" si="38"/>
        <v>364.57</v>
      </c>
      <c r="L89" s="360">
        <f t="shared" si="39"/>
        <v>1.9556640588656847E-5</v>
      </c>
      <c r="N89" s="385"/>
    </row>
    <row r="90" spans="1:14" ht="30">
      <c r="A90" s="257" t="s">
        <v>462</v>
      </c>
      <c r="B90" s="413">
        <v>74010</v>
      </c>
      <c r="C90" s="410" t="s">
        <v>20</v>
      </c>
      <c r="D90" s="258" t="s">
        <v>365</v>
      </c>
      <c r="E90" s="257" t="s">
        <v>19</v>
      </c>
      <c r="F90" s="411">
        <v>17.784000000000013</v>
      </c>
      <c r="G90" s="411">
        <f t="shared" si="35"/>
        <v>17.78</v>
      </c>
      <c r="H90" s="412">
        <f t="shared" si="36"/>
        <v>2.2605174161505324E-6</v>
      </c>
      <c r="I90" s="430">
        <f>'Composição Direta'!H71</f>
        <v>1.97</v>
      </c>
      <c r="J90" s="273">
        <f t="shared" si="37"/>
        <v>2.37</v>
      </c>
      <c r="K90" s="273">
        <f t="shared" si="38"/>
        <v>42.14</v>
      </c>
      <c r="L90" s="360">
        <f t="shared" si="39"/>
        <v>2.2605174161505324E-6</v>
      </c>
      <c r="N90" s="385"/>
    </row>
    <row r="91" spans="1:14">
      <c r="A91" s="257" t="s">
        <v>463</v>
      </c>
      <c r="B91" s="413">
        <v>83344</v>
      </c>
      <c r="C91" s="410" t="s">
        <v>20</v>
      </c>
      <c r="D91" s="258" t="s">
        <v>366</v>
      </c>
      <c r="E91" s="257" t="s">
        <v>19</v>
      </c>
      <c r="F91" s="411">
        <v>17.784000000000013</v>
      </c>
      <c r="G91" s="411">
        <f t="shared" si="35"/>
        <v>17.78</v>
      </c>
      <c r="H91" s="412">
        <f t="shared" si="36"/>
        <v>1.2970885411134284E-6</v>
      </c>
      <c r="I91" s="430">
        <f>'Composição Direta'!H78</f>
        <v>1.1299999999999999</v>
      </c>
      <c r="J91" s="273">
        <f t="shared" si="37"/>
        <v>1.36</v>
      </c>
      <c r="K91" s="273">
        <f t="shared" si="38"/>
        <v>24.18</v>
      </c>
      <c r="L91" s="360">
        <f t="shared" si="39"/>
        <v>1.2970885411134284E-6</v>
      </c>
      <c r="N91" s="385"/>
    </row>
    <row r="92" spans="1:14">
      <c r="A92" s="257" t="s">
        <v>464</v>
      </c>
      <c r="B92" s="413" t="s">
        <v>495</v>
      </c>
      <c r="C92" s="410" t="s">
        <v>201</v>
      </c>
      <c r="D92" s="258" t="s">
        <v>380</v>
      </c>
      <c r="E92" s="257" t="s">
        <v>62</v>
      </c>
      <c r="F92" s="411">
        <v>30</v>
      </c>
      <c r="G92" s="411">
        <f t="shared" si="35"/>
        <v>30</v>
      </c>
      <c r="H92" s="412">
        <f t="shared" si="36"/>
        <v>4.4228466244576395E-3</v>
      </c>
      <c r="I92" s="430">
        <f>BLD!U43</f>
        <v>2276.94</v>
      </c>
      <c r="J92" s="273">
        <f t="shared" si="37"/>
        <v>2748.32</v>
      </c>
      <c r="K92" s="273">
        <f t="shared" si="38"/>
        <v>82449.600000000006</v>
      </c>
      <c r="L92" s="360">
        <f t="shared" si="39"/>
        <v>4.4228466244576395E-3</v>
      </c>
      <c r="N92" s="385"/>
    </row>
    <row r="93" spans="1:14" ht="36" customHeight="1">
      <c r="A93" s="257" t="s">
        <v>465</v>
      </c>
      <c r="B93" s="413">
        <v>98406</v>
      </c>
      <c r="C93" s="410" t="s">
        <v>20</v>
      </c>
      <c r="D93" s="258" t="s">
        <v>382</v>
      </c>
      <c r="E93" s="257" t="s">
        <v>62</v>
      </c>
      <c r="F93" s="411">
        <v>14</v>
      </c>
      <c r="G93" s="411">
        <f t="shared" si="35"/>
        <v>14</v>
      </c>
      <c r="H93" s="412">
        <f t="shared" si="36"/>
        <v>5.7692985575190994E-3</v>
      </c>
      <c r="I93" s="430">
        <v>6364.51</v>
      </c>
      <c r="J93" s="273">
        <f t="shared" si="37"/>
        <v>7682.13</v>
      </c>
      <c r="K93" s="273">
        <f t="shared" si="38"/>
        <v>107549.82</v>
      </c>
      <c r="L93" s="360">
        <f t="shared" si="39"/>
        <v>5.7692985575190994E-3</v>
      </c>
      <c r="N93" s="385"/>
    </row>
    <row r="94" spans="1:14" ht="45">
      <c r="A94" s="257" t="s">
        <v>466</v>
      </c>
      <c r="B94" s="410">
        <v>83627</v>
      </c>
      <c r="C94" s="410" t="s">
        <v>20</v>
      </c>
      <c r="D94" s="258" t="s">
        <v>385</v>
      </c>
      <c r="E94" s="257" t="s">
        <v>62</v>
      </c>
      <c r="F94" s="423">
        <v>14</v>
      </c>
      <c r="G94" s="411">
        <f t="shared" si="35"/>
        <v>14</v>
      </c>
      <c r="H94" s="412">
        <f t="shared" si="36"/>
        <v>6.5168238799489186E-4</v>
      </c>
      <c r="I94" s="431">
        <f>'Composição Direta'!H174</f>
        <v>718.92000000000007</v>
      </c>
      <c r="J94" s="273">
        <f t="shared" si="37"/>
        <v>867.75</v>
      </c>
      <c r="K94" s="273">
        <f t="shared" ref="K94:K95" si="40">TRUNC((F94*J94),2)</f>
        <v>12148.5</v>
      </c>
      <c r="L94" s="360">
        <f t="shared" si="39"/>
        <v>6.5168238799489186E-4</v>
      </c>
      <c r="N94" s="385"/>
    </row>
    <row r="95" spans="1:14" ht="36" customHeight="1">
      <c r="A95" s="380" t="s">
        <v>467</v>
      </c>
      <c r="B95" s="383">
        <v>98051</v>
      </c>
      <c r="C95" s="383" t="s">
        <v>20</v>
      </c>
      <c r="D95" s="260" t="s">
        <v>384</v>
      </c>
      <c r="E95" s="380" t="s">
        <v>62</v>
      </c>
      <c r="F95" s="397">
        <v>14</v>
      </c>
      <c r="G95" s="277">
        <f t="shared" si="35"/>
        <v>14</v>
      </c>
      <c r="H95" s="311">
        <f t="shared" si="36"/>
        <v>9.1007229570278284E-4</v>
      </c>
      <c r="I95" s="431">
        <v>1003.97</v>
      </c>
      <c r="J95" s="267">
        <f t="shared" si="37"/>
        <v>1211.81</v>
      </c>
      <c r="K95" s="267">
        <f t="shared" si="40"/>
        <v>16965.34</v>
      </c>
      <c r="L95" s="360">
        <f t="shared" si="39"/>
        <v>9.1007229570278284E-4</v>
      </c>
      <c r="N95" s="385"/>
    </row>
    <row r="96" spans="1:14" ht="30.75" customHeight="1">
      <c r="A96" s="380" t="s">
        <v>468</v>
      </c>
      <c r="B96" s="383">
        <v>95878</v>
      </c>
      <c r="C96" s="383" t="s">
        <v>20</v>
      </c>
      <c r="D96" s="260" t="s">
        <v>286</v>
      </c>
      <c r="E96" s="380" t="s">
        <v>10</v>
      </c>
      <c r="F96" s="277">
        <v>5185.53</v>
      </c>
      <c r="G96" s="277">
        <f t="shared" si="35"/>
        <v>5185.53</v>
      </c>
      <c r="H96" s="311">
        <f t="shared" si="36"/>
        <v>4.9235614243112766E-4</v>
      </c>
      <c r="I96" s="430">
        <f>I83</f>
        <v>1.47</v>
      </c>
      <c r="J96" s="267">
        <f t="shared" si="37"/>
        <v>1.77</v>
      </c>
      <c r="K96" s="267">
        <f t="shared" ref="K96" si="41">TRUNC((F96*J96),2)</f>
        <v>9178.3799999999992</v>
      </c>
      <c r="L96" s="360">
        <f t="shared" si="39"/>
        <v>4.9235614243112766E-4</v>
      </c>
      <c r="N96" s="385"/>
    </row>
    <row r="97" spans="1:14" ht="15.75" customHeight="1">
      <c r="A97" s="380"/>
      <c r="B97" s="394"/>
      <c r="C97" s="383"/>
      <c r="D97" s="260"/>
      <c r="E97" s="380"/>
      <c r="F97" s="277"/>
      <c r="G97" s="277"/>
      <c r="H97" s="311"/>
      <c r="I97" s="267"/>
      <c r="J97" s="267"/>
      <c r="K97" s="267"/>
      <c r="L97" s="360"/>
      <c r="N97" s="385"/>
    </row>
    <row r="98" spans="1:14" ht="15.75" customHeight="1">
      <c r="A98" s="268" t="s">
        <v>422</v>
      </c>
      <c r="B98" s="391"/>
      <c r="C98" s="392"/>
      <c r="D98" s="393" t="s">
        <v>387</v>
      </c>
      <c r="E98" s="274"/>
      <c r="F98" s="276"/>
      <c r="G98" s="276"/>
      <c r="H98" s="318">
        <f>SUM(H99:H101)</f>
        <v>3.4645031089613771E-3</v>
      </c>
      <c r="I98" s="269"/>
      <c r="J98" s="269"/>
      <c r="K98" s="270">
        <f>SUM(K99:K101)</f>
        <v>64584.399999999994</v>
      </c>
      <c r="L98" s="359"/>
      <c r="N98" s="385"/>
    </row>
    <row r="99" spans="1:14" ht="15.75" customHeight="1">
      <c r="A99" s="380" t="s">
        <v>423</v>
      </c>
      <c r="B99" s="394">
        <v>13244</v>
      </c>
      <c r="C99" s="383" t="s">
        <v>20</v>
      </c>
      <c r="D99" s="260" t="s">
        <v>388</v>
      </c>
      <c r="E99" s="380" t="s">
        <v>62</v>
      </c>
      <c r="F99" s="277">
        <v>160</v>
      </c>
      <c r="G99" s="277">
        <f t="shared" ref="G99:G100" si="42">TRUNC(F99,2)</f>
        <v>160</v>
      </c>
      <c r="H99" s="311">
        <f t="shared" ref="H99:H100" si="43">K99/$K$111</f>
        <v>5.5986160818414512E-4</v>
      </c>
      <c r="I99" s="273">
        <v>56.59</v>
      </c>
      <c r="J99" s="267">
        <f>TRUNC((I99*(1+$K$9)),2)</f>
        <v>65.23</v>
      </c>
      <c r="K99" s="267">
        <f t="shared" ref="K99" si="44">TRUNC((F99*J99),2)</f>
        <v>10436.799999999999</v>
      </c>
      <c r="L99" s="360">
        <f t="shared" ref="L99:L100" si="45">K99/$K$111</f>
        <v>5.5986160818414512E-4</v>
      </c>
      <c r="N99" s="385"/>
    </row>
    <row r="100" spans="1:14" ht="15.75" customHeight="1">
      <c r="A100" s="257" t="s">
        <v>424</v>
      </c>
      <c r="B100" s="413" t="s">
        <v>390</v>
      </c>
      <c r="C100" s="410" t="s">
        <v>20</v>
      </c>
      <c r="D100" s="258" t="s">
        <v>391</v>
      </c>
      <c r="E100" s="257" t="s">
        <v>22</v>
      </c>
      <c r="F100" s="411">
        <v>120</v>
      </c>
      <c r="G100" s="411">
        <f t="shared" si="42"/>
        <v>120</v>
      </c>
      <c r="H100" s="412">
        <f t="shared" si="43"/>
        <v>2.9046415007772321E-3</v>
      </c>
      <c r="I100" s="273">
        <f>'Composição Direta'!H186</f>
        <v>373.84</v>
      </c>
      <c r="J100" s="273">
        <f>TRUNC((I100*(1+$K$8)),2)</f>
        <v>451.23</v>
      </c>
      <c r="K100" s="273">
        <f t="shared" ref="K100" si="46">TRUNC((F100*J100),2)</f>
        <v>54147.6</v>
      </c>
      <c r="L100" s="360">
        <f t="shared" si="45"/>
        <v>2.9046415007772321E-3</v>
      </c>
      <c r="N100" s="385"/>
    </row>
    <row r="101" spans="1:14" ht="15.75" customHeight="1">
      <c r="A101" s="380"/>
      <c r="B101" s="394"/>
      <c r="C101" s="383"/>
      <c r="D101" s="260"/>
      <c r="E101" s="380"/>
      <c r="F101" s="277"/>
      <c r="G101" s="277"/>
      <c r="H101" s="311"/>
      <c r="I101" s="267"/>
      <c r="J101" s="267"/>
      <c r="K101" s="267"/>
      <c r="L101" s="360"/>
      <c r="N101" s="385"/>
    </row>
    <row r="102" spans="1:14" ht="15.75" customHeight="1">
      <c r="A102" s="268" t="s">
        <v>425</v>
      </c>
      <c r="B102" s="391"/>
      <c r="C102" s="392"/>
      <c r="D102" s="393" t="s">
        <v>306</v>
      </c>
      <c r="E102" s="274"/>
      <c r="F102" s="276"/>
      <c r="G102" s="276"/>
      <c r="H102" s="318">
        <f>SUM(H103:H107)</f>
        <v>2.7837258126567625E-3</v>
      </c>
      <c r="I102" s="269"/>
      <c r="J102" s="269"/>
      <c r="K102" s="270">
        <f>SUM(K103:K107)</f>
        <v>51893.520000000004</v>
      </c>
      <c r="L102" s="359"/>
      <c r="N102" s="385"/>
    </row>
    <row r="103" spans="1:14" ht="36" customHeight="1">
      <c r="A103" s="380" t="s">
        <v>426</v>
      </c>
      <c r="B103" s="394">
        <v>10775</v>
      </c>
      <c r="C103" s="383" t="s">
        <v>20</v>
      </c>
      <c r="D103" s="260" t="s">
        <v>307</v>
      </c>
      <c r="E103" s="380" t="s">
        <v>308</v>
      </c>
      <c r="F103" s="277">
        <v>12</v>
      </c>
      <c r="G103" s="277">
        <f t="shared" ref="G103:G106" si="47">TRUNC(F103,2)</f>
        <v>12</v>
      </c>
      <c r="H103" s="311">
        <f t="shared" ref="H103:H106" si="48">K103/$K$111</f>
        <v>6.5499430886041467E-4</v>
      </c>
      <c r="I103" s="273">
        <v>843</v>
      </c>
      <c r="J103" s="267">
        <f>TRUNC((I103*(1+$K$8)),2)</f>
        <v>1017.52</v>
      </c>
      <c r="K103" s="273">
        <f t="shared" ref="K103" si="49">TRUNC((F103*J103),2)</f>
        <v>12210.24</v>
      </c>
      <c r="L103" s="360">
        <f t="shared" ref="L103:L106" si="50">K103/$K$111</f>
        <v>6.5499430886041467E-4</v>
      </c>
      <c r="N103" s="385"/>
    </row>
    <row r="104" spans="1:14" ht="31.5" customHeight="1">
      <c r="A104" s="380" t="s">
        <v>427</v>
      </c>
      <c r="B104" s="394">
        <v>10775</v>
      </c>
      <c r="C104" s="383" t="s">
        <v>20</v>
      </c>
      <c r="D104" s="260" t="s">
        <v>386</v>
      </c>
      <c r="E104" s="380" t="s">
        <v>308</v>
      </c>
      <c r="F104" s="277">
        <v>12</v>
      </c>
      <c r="G104" s="277">
        <f t="shared" si="47"/>
        <v>12</v>
      </c>
      <c r="H104" s="311">
        <f t="shared" si="48"/>
        <v>6.5499430886041467E-4</v>
      </c>
      <c r="I104" s="273">
        <f>I103</f>
        <v>843</v>
      </c>
      <c r="J104" s="267">
        <f>TRUNC((I104*(1+$K$8)),2)</f>
        <v>1017.52</v>
      </c>
      <c r="K104" s="273">
        <f t="shared" ref="K104" si="51">TRUNC((F104*J104),2)</f>
        <v>12210.24</v>
      </c>
      <c r="L104" s="360">
        <f t="shared" si="50"/>
        <v>6.5499430886041467E-4</v>
      </c>
      <c r="N104" s="385"/>
    </row>
    <row r="105" spans="1:14" ht="32.25" customHeight="1">
      <c r="A105" s="380" t="s">
        <v>469</v>
      </c>
      <c r="B105" s="394">
        <v>10775</v>
      </c>
      <c r="C105" s="383" t="s">
        <v>20</v>
      </c>
      <c r="D105" s="260" t="s">
        <v>309</v>
      </c>
      <c r="E105" s="380" t="s">
        <v>308</v>
      </c>
      <c r="F105" s="277">
        <v>12</v>
      </c>
      <c r="G105" s="277">
        <f t="shared" si="47"/>
        <v>12</v>
      </c>
      <c r="H105" s="311">
        <f t="shared" si="48"/>
        <v>6.5499430886041467E-4</v>
      </c>
      <c r="I105" s="273">
        <f>I104</f>
        <v>843</v>
      </c>
      <c r="J105" s="267">
        <f>TRUNC((I105*(1+$K$8)),2)</f>
        <v>1017.52</v>
      </c>
      <c r="K105" s="273">
        <f t="shared" ref="K105:K106" si="52">TRUNC((F105*J105),2)</f>
        <v>12210.24</v>
      </c>
      <c r="L105" s="360">
        <f t="shared" si="50"/>
        <v>6.5499430886041467E-4</v>
      </c>
      <c r="N105" s="385"/>
    </row>
    <row r="106" spans="1:14" ht="32.25" customHeight="1">
      <c r="A106" s="380" t="s">
        <v>470</v>
      </c>
      <c r="B106" s="394">
        <v>10778</v>
      </c>
      <c r="C106" s="383" t="s">
        <v>20</v>
      </c>
      <c r="D106" s="260" t="s">
        <v>310</v>
      </c>
      <c r="E106" s="380" t="s">
        <v>308</v>
      </c>
      <c r="F106" s="277">
        <v>12</v>
      </c>
      <c r="G106" s="277">
        <f t="shared" si="47"/>
        <v>12</v>
      </c>
      <c r="H106" s="311">
        <f t="shared" si="48"/>
        <v>8.1874288607551831E-4</v>
      </c>
      <c r="I106" s="273">
        <v>1053.75</v>
      </c>
      <c r="J106" s="267">
        <f>TRUNC((I106*(1+$K$8)),2)</f>
        <v>1271.9000000000001</v>
      </c>
      <c r="K106" s="273">
        <f t="shared" si="52"/>
        <v>15262.8</v>
      </c>
      <c r="L106" s="360">
        <f t="shared" si="50"/>
        <v>8.1874288607551831E-4</v>
      </c>
      <c r="N106" s="385"/>
    </row>
    <row r="107" spans="1:14" ht="15.75" customHeight="1">
      <c r="A107" s="380"/>
      <c r="B107" s="394"/>
      <c r="C107" s="383"/>
      <c r="D107" s="260"/>
      <c r="E107" s="380"/>
      <c r="F107" s="277"/>
      <c r="G107" s="277"/>
      <c r="H107" s="311"/>
      <c r="I107" s="267"/>
      <c r="J107" s="273"/>
      <c r="K107" s="273"/>
      <c r="L107" s="362"/>
      <c r="N107" s="385"/>
    </row>
    <row r="108" spans="1:14" ht="15.75" customHeight="1">
      <c r="A108" s="268" t="s">
        <v>428</v>
      </c>
      <c r="B108" s="391"/>
      <c r="C108" s="392"/>
      <c r="D108" s="393" t="s">
        <v>311</v>
      </c>
      <c r="E108" s="274"/>
      <c r="F108" s="276"/>
      <c r="G108" s="276"/>
      <c r="H108" s="318">
        <f>SUM(H109:H110)</f>
        <v>3.7779264772192719E-2</v>
      </c>
      <c r="I108" s="269"/>
      <c r="J108" s="269"/>
      <c r="K108" s="270">
        <f>SUM(K109)</f>
        <v>704271.6</v>
      </c>
      <c r="L108" s="359"/>
      <c r="N108" s="385"/>
    </row>
    <row r="109" spans="1:14" ht="15.75" customHeight="1">
      <c r="A109" s="257" t="s">
        <v>429</v>
      </c>
      <c r="B109" s="410" t="s">
        <v>494</v>
      </c>
      <c r="C109" s="410" t="s">
        <v>20</v>
      </c>
      <c r="D109" s="258" t="s">
        <v>300</v>
      </c>
      <c r="E109" s="257" t="s">
        <v>308</v>
      </c>
      <c r="F109" s="411">
        <v>12</v>
      </c>
      <c r="G109" s="411">
        <f>TRUNC(F109,2)</f>
        <v>12</v>
      </c>
      <c r="H109" s="412">
        <f>K109/$K$111</f>
        <v>3.7779264772192719E-2</v>
      </c>
      <c r="I109" s="273">
        <f>'Composição Direta'!H155</f>
        <v>48623.01</v>
      </c>
      <c r="J109" s="273">
        <f>TRUNC((I109*(1+$K$8)),2)</f>
        <v>58689.3</v>
      </c>
      <c r="K109" s="273">
        <f t="shared" ref="K109" si="53">TRUNC((F109*J109),2)</f>
        <v>704271.6</v>
      </c>
      <c r="L109" s="360">
        <f t="shared" ref="L109" si="54">K109/$K$111</f>
        <v>3.7779264772192719E-2</v>
      </c>
      <c r="N109" s="385"/>
    </row>
    <row r="110" spans="1:14" ht="15.75" customHeight="1">
      <c r="A110" s="380"/>
      <c r="B110" s="383"/>
      <c r="C110" s="383"/>
      <c r="D110" s="260"/>
      <c r="E110" s="380"/>
      <c r="F110" s="275"/>
      <c r="G110" s="275"/>
      <c r="H110" s="311"/>
      <c r="I110" s="266"/>
      <c r="J110" s="267"/>
      <c r="K110" s="267"/>
      <c r="N110" s="385"/>
    </row>
    <row r="111" spans="1:14" s="278" customFormat="1" ht="15.75" customHeight="1">
      <c r="A111" s="526" t="s">
        <v>292</v>
      </c>
      <c r="B111" s="527"/>
      <c r="C111" s="527"/>
      <c r="D111" s="527"/>
      <c r="E111" s="527"/>
      <c r="F111" s="527"/>
      <c r="G111" s="527"/>
      <c r="H111" s="527"/>
      <c r="I111" s="527"/>
      <c r="J111" s="528"/>
      <c r="K111" s="280">
        <f>K19+K26+K33+K41+K56+K65+K70+K98+K102+K108+K47</f>
        <v>18641749.759999998</v>
      </c>
      <c r="L111" s="363">
        <f>SUM(L18:L109)</f>
        <v>1</v>
      </c>
      <c r="N111" s="279"/>
    </row>
    <row r="115" spans="2:11">
      <c r="K115" s="432"/>
    </row>
    <row r="116" spans="2:11">
      <c r="K116" s="385"/>
    </row>
    <row r="117" spans="2:11">
      <c r="K117" s="385"/>
    </row>
    <row r="121" spans="2:11">
      <c r="B121" s="384"/>
    </row>
  </sheetData>
  <mergeCells count="10">
    <mergeCell ref="A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7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zoomScale="115" zoomScaleNormal="100" zoomScaleSheetLayoutView="115" workbookViewId="0">
      <selection activeCell="E24" sqref="E24"/>
    </sheetView>
  </sheetViews>
  <sheetFormatPr defaultRowHeight="12.75"/>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c r="A1" s="171"/>
      <c r="B1" s="172"/>
      <c r="C1" s="172"/>
    </row>
    <row r="2" spans="1:9" ht="15">
      <c r="A2" s="171"/>
      <c r="B2" s="172"/>
      <c r="C2" s="172"/>
    </row>
    <row r="3" spans="1:9" ht="15">
      <c r="A3" s="171"/>
      <c r="B3" s="174"/>
      <c r="C3" s="175"/>
    </row>
    <row r="4" spans="1:9" ht="15">
      <c r="A4" s="171"/>
      <c r="B4" s="546"/>
      <c r="C4" s="546"/>
    </row>
    <row r="5" spans="1:9">
      <c r="A5" s="547"/>
      <c r="B5" s="548"/>
      <c r="C5" s="548"/>
      <c r="D5" s="547"/>
      <c r="E5" s="548"/>
      <c r="F5" s="548"/>
      <c r="G5" s="547"/>
      <c r="H5" s="548"/>
      <c r="I5" s="549"/>
    </row>
    <row r="6" spans="1:9" ht="13.5" thickBot="1">
      <c r="A6" s="550" t="s">
        <v>317</v>
      </c>
      <c r="B6" s="551"/>
      <c r="C6" s="551"/>
      <c r="D6" s="550"/>
      <c r="E6" s="551"/>
      <c r="F6" s="551"/>
      <c r="G6" s="550"/>
      <c r="H6" s="551"/>
      <c r="I6" s="552"/>
    </row>
    <row r="7" spans="1:9" ht="16.5" customHeight="1">
      <c r="A7" s="556" t="s">
        <v>318</v>
      </c>
      <c r="B7" s="557"/>
      <c r="C7" s="557"/>
      <c r="D7" s="557"/>
      <c r="E7" s="558"/>
      <c r="F7" s="176"/>
      <c r="G7" s="176"/>
      <c r="H7" s="176"/>
      <c r="I7" s="177"/>
    </row>
    <row r="8" spans="1:9" ht="16.5" customHeight="1" thickBot="1">
      <c r="A8" s="559"/>
      <c r="B8" s="560"/>
      <c r="C8" s="560"/>
      <c r="D8" s="560"/>
      <c r="E8" s="561"/>
      <c r="F8" s="178"/>
      <c r="G8" s="178"/>
      <c r="H8" s="178"/>
      <c r="I8" s="179"/>
    </row>
    <row r="9" spans="1:9" ht="15">
      <c r="A9" s="562" t="s">
        <v>319</v>
      </c>
      <c r="B9" s="564" t="s">
        <v>320</v>
      </c>
      <c r="C9" s="565"/>
      <c r="D9" s="566"/>
      <c r="E9" s="180" t="s">
        <v>321</v>
      </c>
      <c r="F9" s="181" t="s">
        <v>322</v>
      </c>
      <c r="G9" s="182" t="s">
        <v>323</v>
      </c>
      <c r="H9" s="182" t="s">
        <v>324</v>
      </c>
      <c r="I9" s="183" t="s">
        <v>325</v>
      </c>
    </row>
    <row r="10" spans="1:9" ht="15.75" thickBot="1">
      <c r="A10" s="563"/>
      <c r="B10" s="567"/>
      <c r="C10" s="568"/>
      <c r="D10" s="569"/>
      <c r="E10" s="184" t="s">
        <v>326</v>
      </c>
      <c r="F10" s="185" t="s">
        <v>327</v>
      </c>
      <c r="G10" s="186" t="s">
        <v>327</v>
      </c>
      <c r="H10" s="186" t="s">
        <v>327</v>
      </c>
      <c r="I10" s="184" t="s">
        <v>327</v>
      </c>
    </row>
    <row r="11" spans="1:9" ht="15">
      <c r="A11" s="187" t="s">
        <v>328</v>
      </c>
      <c r="B11" s="570" t="s">
        <v>329</v>
      </c>
      <c r="C11" s="571"/>
      <c r="D11" s="572"/>
      <c r="E11" s="188">
        <f>SUM(E12:E15)</f>
        <v>6.080000000000001</v>
      </c>
      <c r="F11" s="189"/>
      <c r="G11" s="190"/>
      <c r="H11" s="191"/>
      <c r="I11" s="192"/>
    </row>
    <row r="12" spans="1:9" ht="15">
      <c r="A12" s="193" t="s">
        <v>14</v>
      </c>
      <c r="B12" s="573" t="s">
        <v>330</v>
      </c>
      <c r="C12" s="554"/>
      <c r="D12" s="555"/>
      <c r="E12" s="194">
        <v>4.01</v>
      </c>
      <c r="F12" s="195"/>
      <c r="G12" s="196"/>
      <c r="H12" s="197"/>
      <c r="I12" s="198"/>
    </row>
    <row r="13" spans="1:9" ht="15">
      <c r="A13" s="193" t="s">
        <v>331</v>
      </c>
      <c r="B13" s="199" t="s">
        <v>332</v>
      </c>
      <c r="C13" s="200"/>
      <c r="D13" s="201"/>
      <c r="E13" s="194">
        <v>0.4</v>
      </c>
      <c r="F13" s="195"/>
      <c r="G13" s="196"/>
      <c r="H13" s="197"/>
      <c r="I13" s="198"/>
    </row>
    <row r="14" spans="1:9" ht="15">
      <c r="A14" s="193" t="s">
        <v>333</v>
      </c>
      <c r="B14" s="573" t="s">
        <v>334</v>
      </c>
      <c r="C14" s="554"/>
      <c r="D14" s="555"/>
      <c r="E14" s="194">
        <v>0.56000000000000005</v>
      </c>
      <c r="F14" s="195"/>
      <c r="G14" s="196"/>
      <c r="H14" s="197"/>
      <c r="I14" s="198"/>
    </row>
    <row r="15" spans="1:9" ht="15">
      <c r="A15" s="193" t="s">
        <v>335</v>
      </c>
      <c r="B15" s="573" t="s">
        <v>336</v>
      </c>
      <c r="C15" s="554"/>
      <c r="D15" s="555"/>
      <c r="E15" s="194">
        <v>1.1100000000000001</v>
      </c>
      <c r="F15" s="195"/>
      <c r="G15" s="196"/>
      <c r="H15" s="197"/>
      <c r="I15" s="198"/>
    </row>
    <row r="16" spans="1:9" ht="15">
      <c r="A16" s="202"/>
      <c r="B16" s="574"/>
      <c r="C16" s="575"/>
      <c r="D16" s="576"/>
      <c r="E16" s="203"/>
      <c r="F16" s="204"/>
      <c r="G16" s="205"/>
      <c r="H16" s="206"/>
      <c r="I16" s="207"/>
    </row>
    <row r="17" spans="1:9" ht="15">
      <c r="A17" s="208" t="s">
        <v>337</v>
      </c>
      <c r="B17" s="553" t="s">
        <v>338</v>
      </c>
      <c r="C17" s="554"/>
      <c r="D17" s="555"/>
      <c r="E17" s="209">
        <f>E18</f>
        <v>7.3</v>
      </c>
      <c r="F17" s="210"/>
      <c r="G17" s="196"/>
      <c r="H17" s="197"/>
      <c r="I17" s="198"/>
    </row>
    <row r="18" spans="1:9" ht="15">
      <c r="A18" s="193" t="s">
        <v>339</v>
      </c>
      <c r="B18" s="573" t="s">
        <v>340</v>
      </c>
      <c r="C18" s="554"/>
      <c r="D18" s="555"/>
      <c r="E18" s="194">
        <v>7.3</v>
      </c>
      <c r="F18" s="195"/>
      <c r="G18" s="196"/>
      <c r="H18" s="197"/>
      <c r="I18" s="198"/>
    </row>
    <row r="19" spans="1:9" ht="15">
      <c r="A19" s="211"/>
      <c r="B19" s="577"/>
      <c r="C19" s="578"/>
      <c r="D19" s="579"/>
      <c r="E19" s="212"/>
      <c r="F19" s="213"/>
      <c r="G19" s="214"/>
      <c r="H19" s="215"/>
      <c r="I19" s="216"/>
    </row>
    <row r="20" spans="1:9" ht="15">
      <c r="A20" s="208" t="s">
        <v>341</v>
      </c>
      <c r="B20" s="553" t="s">
        <v>342</v>
      </c>
      <c r="C20" s="554"/>
      <c r="D20" s="555"/>
      <c r="E20" s="209">
        <f>E21+E22+E24+E23</f>
        <v>5.65</v>
      </c>
      <c r="F20" s="210"/>
      <c r="G20" s="196"/>
      <c r="H20" s="217"/>
      <c r="I20" s="198"/>
    </row>
    <row r="21" spans="1:9" ht="15">
      <c r="A21" s="193" t="s">
        <v>343</v>
      </c>
      <c r="B21" s="573" t="s">
        <v>344</v>
      </c>
      <c r="C21" s="554"/>
      <c r="D21" s="555"/>
      <c r="E21" s="218">
        <v>0.65</v>
      </c>
      <c r="F21" s="195"/>
      <c r="G21" s="196"/>
      <c r="H21" s="217"/>
      <c r="I21" s="198"/>
    </row>
    <row r="22" spans="1:9" ht="15">
      <c r="A22" s="193" t="s">
        <v>345</v>
      </c>
      <c r="B22" s="573" t="s">
        <v>346</v>
      </c>
      <c r="C22" s="554"/>
      <c r="D22" s="555"/>
      <c r="E22" s="194">
        <v>3</v>
      </c>
      <c r="F22" s="195"/>
      <c r="G22" s="196"/>
      <c r="H22" s="217"/>
      <c r="I22" s="198"/>
    </row>
    <row r="23" spans="1:9" ht="15">
      <c r="A23" s="193" t="s">
        <v>347</v>
      </c>
      <c r="B23" s="573" t="s">
        <v>348</v>
      </c>
      <c r="C23" s="580"/>
      <c r="D23" s="581"/>
      <c r="E23" s="194">
        <v>2</v>
      </c>
      <c r="F23" s="195"/>
      <c r="G23" s="196"/>
      <c r="H23" s="217"/>
      <c r="I23" s="198"/>
    </row>
    <row r="24" spans="1:9" ht="15">
      <c r="A24" s="193" t="s">
        <v>349</v>
      </c>
      <c r="B24" s="573" t="s">
        <v>350</v>
      </c>
      <c r="C24" s="554"/>
      <c r="D24" s="555"/>
      <c r="E24" s="194">
        <v>0</v>
      </c>
      <c r="F24" s="195"/>
      <c r="G24" s="196"/>
      <c r="H24" s="197"/>
      <c r="I24" s="198"/>
    </row>
    <row r="25" spans="1:9">
      <c r="A25" s="193"/>
      <c r="B25" s="553" t="s">
        <v>351</v>
      </c>
      <c r="C25" s="554"/>
      <c r="D25" s="555"/>
      <c r="E25" s="219"/>
      <c r="F25" s="220"/>
      <c r="G25" s="221"/>
      <c r="H25" s="222"/>
      <c r="I25" s="223"/>
    </row>
    <row r="26" spans="1:9" ht="12.75" customHeight="1">
      <c r="A26" s="587" t="s">
        <v>352</v>
      </c>
      <c r="B26" s="588"/>
      <c r="C26" s="588"/>
      <c r="D26" s="589"/>
      <c r="E26" s="592">
        <f>(((1+((E12+E13+E14)/100))*(1+((E15)/100))*(1+((E17/100)))/(1-((E21+E22+E23+E24)/100)))-1)</f>
        <v>0.20702738941176513</v>
      </c>
      <c r="F26" s="594"/>
      <c r="G26" s="595"/>
      <c r="H26" s="595"/>
      <c r="I26" s="582"/>
    </row>
    <row r="27" spans="1:9" ht="23.25" customHeight="1" thickBot="1">
      <c r="A27" s="590"/>
      <c r="B27" s="568"/>
      <c r="C27" s="568"/>
      <c r="D27" s="569"/>
      <c r="E27" s="593"/>
      <c r="F27" s="569"/>
      <c r="G27" s="596"/>
      <c r="H27" s="596"/>
      <c r="I27" s="583"/>
    </row>
    <row r="28" spans="1:9">
      <c r="A28" s="224"/>
      <c r="B28" s="225"/>
      <c r="C28" s="226"/>
      <c r="D28" s="226"/>
      <c r="E28" s="227"/>
      <c r="F28" s="228"/>
      <c r="G28" s="229"/>
      <c r="H28" s="229"/>
      <c r="I28" s="230"/>
    </row>
    <row r="29" spans="1:9" ht="12.75" customHeight="1">
      <c r="A29" s="231" t="s">
        <v>353</v>
      </c>
      <c r="B29" s="232"/>
      <c r="C29" s="233"/>
      <c r="D29" s="233"/>
      <c r="E29" s="234"/>
      <c r="F29" s="235"/>
      <c r="G29" s="236"/>
      <c r="H29" s="237"/>
      <c r="I29" s="238"/>
    </row>
    <row r="30" spans="1:9">
      <c r="A30" s="231"/>
      <c r="B30" s="233"/>
      <c r="C30" s="239"/>
      <c r="D30" s="239"/>
      <c r="E30" s="234"/>
      <c r="F30" s="235"/>
      <c r="G30" s="237"/>
      <c r="H30" s="237"/>
      <c r="I30" s="238"/>
    </row>
    <row r="31" spans="1:9">
      <c r="A31" s="231"/>
      <c r="B31" s="233"/>
      <c r="C31" s="239"/>
      <c r="D31" s="239"/>
      <c r="E31" s="234"/>
      <c r="F31" s="235"/>
      <c r="G31" s="237"/>
      <c r="H31" s="237"/>
      <c r="I31" s="238"/>
    </row>
    <row r="32" spans="1:9">
      <c r="A32" s="231"/>
      <c r="B32" s="233"/>
      <c r="C32" s="239"/>
      <c r="D32" s="239"/>
      <c r="E32" s="234"/>
      <c r="F32" s="235"/>
      <c r="G32" s="237"/>
      <c r="H32" s="237"/>
      <c r="I32" s="238"/>
    </row>
    <row r="33" spans="1:9" ht="15.75">
      <c r="A33" s="231"/>
      <c r="B33" s="233"/>
      <c r="C33" s="233"/>
      <c r="D33" s="233"/>
      <c r="E33" s="234"/>
      <c r="F33" s="235"/>
      <c r="G33" s="584"/>
      <c r="H33" s="584"/>
      <c r="I33" s="240"/>
    </row>
    <row r="34" spans="1:9" ht="15.75">
      <c r="A34" s="231"/>
      <c r="B34" s="585"/>
      <c r="C34" s="548"/>
      <c r="D34" s="548"/>
      <c r="E34" s="549"/>
      <c r="F34" s="241"/>
      <c r="G34" s="584"/>
      <c r="H34" s="584"/>
      <c r="I34" s="240"/>
    </row>
    <row r="35" spans="1:9" ht="15.75">
      <c r="A35" s="231"/>
      <c r="B35" s="548"/>
      <c r="C35" s="548"/>
      <c r="D35" s="548"/>
      <c r="E35" s="549"/>
      <c r="F35" s="235"/>
      <c r="G35" s="584"/>
      <c r="H35" s="584"/>
      <c r="I35" s="240"/>
    </row>
    <row r="36" spans="1:9" ht="15.75">
      <c r="A36" s="231"/>
      <c r="B36" s="591"/>
      <c r="C36" s="548"/>
      <c r="D36" s="548"/>
      <c r="E36" s="549"/>
      <c r="F36" s="235"/>
      <c r="G36" s="584"/>
      <c r="H36" s="586"/>
      <c r="I36" s="240"/>
    </row>
    <row r="37" spans="1:9" ht="13.5" thickBot="1">
      <c r="A37" s="242"/>
      <c r="B37" s="551"/>
      <c r="C37" s="551"/>
      <c r="D37" s="551"/>
      <c r="E37" s="552"/>
      <c r="F37" s="243"/>
      <c r="G37" s="244"/>
      <c r="H37" s="245"/>
      <c r="I37" s="246"/>
    </row>
    <row r="39" spans="1:9">
      <c r="B39" s="247" t="s">
        <v>396</v>
      </c>
    </row>
    <row r="43" spans="1:9">
      <c r="B43" s="248"/>
    </row>
    <row r="44" spans="1:9">
      <c r="B44" s="249"/>
    </row>
    <row r="45" spans="1:9">
      <c r="B45" s="249"/>
    </row>
    <row r="46" spans="1:9">
      <c r="B46" s="249"/>
    </row>
  </sheetData>
  <mergeCells count="36">
    <mergeCell ref="I26:I27"/>
    <mergeCell ref="G33:G34"/>
    <mergeCell ref="H33: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zoomScaleNormal="100" zoomScaleSheetLayoutView="100" workbookViewId="0">
      <selection activeCell="E24" sqref="E24"/>
    </sheetView>
  </sheetViews>
  <sheetFormatPr defaultRowHeight="12.75"/>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c r="A1" s="171"/>
      <c r="B1" s="172"/>
      <c r="C1" s="172"/>
    </row>
    <row r="2" spans="1:9" ht="15">
      <c r="A2" s="171"/>
      <c r="B2" s="172"/>
      <c r="C2" s="172"/>
    </row>
    <row r="3" spans="1:9" ht="15">
      <c r="A3" s="171"/>
      <c r="B3" s="174"/>
      <c r="C3" s="175"/>
    </row>
    <row r="4" spans="1:9" ht="15">
      <c r="A4" s="171"/>
      <c r="B4" s="546"/>
      <c r="C4" s="546"/>
    </row>
    <row r="5" spans="1:9">
      <c r="A5" s="597"/>
      <c r="B5" s="548"/>
      <c r="C5" s="548"/>
      <c r="D5" s="547"/>
      <c r="E5" s="548"/>
      <c r="F5" s="548"/>
      <c r="G5" s="547"/>
      <c r="H5" s="548"/>
      <c r="I5" s="549"/>
    </row>
    <row r="6" spans="1:9" ht="13.5" thickBot="1">
      <c r="A6" s="598" t="s">
        <v>317</v>
      </c>
      <c r="B6" s="551"/>
      <c r="C6" s="551"/>
      <c r="D6" s="550"/>
      <c r="E6" s="551"/>
      <c r="F6" s="551"/>
      <c r="G6" s="550"/>
      <c r="H6" s="551"/>
      <c r="I6" s="552"/>
    </row>
    <row r="7" spans="1:9" ht="16.5" customHeight="1">
      <c r="A7" s="556" t="s">
        <v>318</v>
      </c>
      <c r="B7" s="557"/>
      <c r="C7" s="557"/>
      <c r="D7" s="557"/>
      <c r="E7" s="558"/>
      <c r="F7" s="250"/>
      <c r="G7" s="250"/>
      <c r="H7" s="250"/>
      <c r="I7" s="251"/>
    </row>
    <row r="8" spans="1:9" ht="16.5" customHeight="1" thickBot="1">
      <c r="A8" s="559"/>
      <c r="B8" s="560"/>
      <c r="C8" s="560"/>
      <c r="D8" s="560"/>
      <c r="E8" s="561"/>
      <c r="F8" s="252"/>
      <c r="G8" s="252"/>
      <c r="H8" s="252"/>
      <c r="I8" s="253"/>
    </row>
    <row r="9" spans="1:9" ht="15">
      <c r="A9" s="562" t="s">
        <v>319</v>
      </c>
      <c r="B9" s="564" t="s">
        <v>320</v>
      </c>
      <c r="C9" s="565"/>
      <c r="D9" s="566"/>
      <c r="E9" s="180" t="s">
        <v>321</v>
      </c>
      <c r="F9" s="181" t="s">
        <v>322</v>
      </c>
      <c r="G9" s="182" t="s">
        <v>323</v>
      </c>
      <c r="H9" s="182" t="s">
        <v>324</v>
      </c>
      <c r="I9" s="183" t="s">
        <v>325</v>
      </c>
    </row>
    <row r="10" spans="1:9" ht="15.75" thickBot="1">
      <c r="A10" s="563"/>
      <c r="B10" s="567"/>
      <c r="C10" s="568"/>
      <c r="D10" s="569"/>
      <c r="E10" s="184" t="s">
        <v>326</v>
      </c>
      <c r="F10" s="185" t="s">
        <v>327</v>
      </c>
      <c r="G10" s="186" t="s">
        <v>327</v>
      </c>
      <c r="H10" s="186" t="s">
        <v>327</v>
      </c>
      <c r="I10" s="184" t="s">
        <v>327</v>
      </c>
    </row>
    <row r="11" spans="1:9" ht="15">
      <c r="A11" s="187" t="s">
        <v>328</v>
      </c>
      <c r="B11" s="570" t="s">
        <v>329</v>
      </c>
      <c r="C11" s="571"/>
      <c r="D11" s="572"/>
      <c r="E11" s="188">
        <f>SUM(E12:E15)</f>
        <v>5.63</v>
      </c>
      <c r="F11" s="189"/>
      <c r="G11" s="190"/>
      <c r="H11" s="191"/>
      <c r="I11" s="192"/>
    </row>
    <row r="12" spans="1:9" ht="15">
      <c r="A12" s="193" t="s">
        <v>14</v>
      </c>
      <c r="B12" s="573" t="s">
        <v>330</v>
      </c>
      <c r="C12" s="554"/>
      <c r="D12" s="555"/>
      <c r="E12" s="194">
        <v>3.45</v>
      </c>
      <c r="F12" s="195"/>
      <c r="G12" s="196"/>
      <c r="H12" s="197"/>
      <c r="I12" s="198"/>
    </row>
    <row r="13" spans="1:9" ht="15">
      <c r="A13" s="193" t="s">
        <v>331</v>
      </c>
      <c r="B13" s="199" t="s">
        <v>332</v>
      </c>
      <c r="C13" s="200"/>
      <c r="D13" s="201"/>
      <c r="E13" s="194">
        <v>0.48</v>
      </c>
      <c r="F13" s="195"/>
      <c r="G13" s="196"/>
      <c r="H13" s="197"/>
      <c r="I13" s="198"/>
    </row>
    <row r="14" spans="1:9" ht="15">
      <c r="A14" s="193" t="s">
        <v>333</v>
      </c>
      <c r="B14" s="573" t="s">
        <v>334</v>
      </c>
      <c r="C14" s="554"/>
      <c r="D14" s="555"/>
      <c r="E14" s="194">
        <v>0.85</v>
      </c>
      <c r="F14" s="195"/>
      <c r="G14" s="196"/>
      <c r="H14" s="197"/>
      <c r="I14" s="198"/>
    </row>
    <row r="15" spans="1:9" ht="15">
      <c r="A15" s="193" t="s">
        <v>335</v>
      </c>
      <c r="B15" s="573" t="s">
        <v>336</v>
      </c>
      <c r="C15" s="554"/>
      <c r="D15" s="555"/>
      <c r="E15" s="194">
        <v>0.85</v>
      </c>
      <c r="F15" s="195"/>
      <c r="G15" s="196"/>
      <c r="H15" s="197"/>
      <c r="I15" s="198"/>
    </row>
    <row r="16" spans="1:9" ht="15">
      <c r="A16" s="202"/>
      <c r="B16" s="574"/>
      <c r="C16" s="575"/>
      <c r="D16" s="576"/>
      <c r="E16" s="203"/>
      <c r="F16" s="204"/>
      <c r="G16" s="205"/>
      <c r="H16" s="206"/>
      <c r="I16" s="207"/>
    </row>
    <row r="17" spans="1:12" ht="15">
      <c r="A17" s="208" t="s">
        <v>337</v>
      </c>
      <c r="B17" s="553" t="s">
        <v>338</v>
      </c>
      <c r="C17" s="554"/>
      <c r="D17" s="555"/>
      <c r="E17" s="209">
        <f>E18</f>
        <v>5.1100000000000003</v>
      </c>
      <c r="F17" s="210"/>
      <c r="G17" s="196"/>
      <c r="H17" s="197"/>
      <c r="I17" s="198"/>
    </row>
    <row r="18" spans="1:12" ht="15">
      <c r="A18" s="193" t="s">
        <v>339</v>
      </c>
      <c r="B18" s="573" t="s">
        <v>340</v>
      </c>
      <c r="C18" s="554"/>
      <c r="D18" s="555"/>
      <c r="E18" s="194">
        <v>5.1100000000000003</v>
      </c>
      <c r="F18" s="195"/>
      <c r="G18" s="196"/>
      <c r="H18" s="197"/>
      <c r="I18" s="198"/>
    </row>
    <row r="19" spans="1:12" ht="15">
      <c r="A19" s="211"/>
      <c r="B19" s="577"/>
      <c r="C19" s="578"/>
      <c r="D19" s="579"/>
      <c r="E19" s="212"/>
      <c r="F19" s="213"/>
      <c r="G19" s="214"/>
      <c r="H19" s="215"/>
      <c r="I19" s="216"/>
    </row>
    <row r="20" spans="1:12" ht="15">
      <c r="A20" s="208" t="s">
        <v>341</v>
      </c>
      <c r="B20" s="553" t="s">
        <v>342</v>
      </c>
      <c r="C20" s="554"/>
      <c r="D20" s="555"/>
      <c r="E20" s="209">
        <f>E21+E22+E24+E23</f>
        <v>3.65</v>
      </c>
      <c r="F20" s="210"/>
      <c r="G20" s="196"/>
      <c r="H20" s="217"/>
      <c r="I20" s="198"/>
    </row>
    <row r="21" spans="1:12" ht="15">
      <c r="A21" s="193" t="s">
        <v>343</v>
      </c>
      <c r="B21" s="573" t="s">
        <v>344</v>
      </c>
      <c r="C21" s="554"/>
      <c r="D21" s="555"/>
      <c r="E21" s="218">
        <v>0.65</v>
      </c>
      <c r="F21" s="195"/>
      <c r="G21" s="196"/>
      <c r="H21" s="217"/>
      <c r="I21" s="198"/>
    </row>
    <row r="22" spans="1:12" ht="15">
      <c r="A22" s="193" t="s">
        <v>345</v>
      </c>
      <c r="B22" s="573" t="s">
        <v>346</v>
      </c>
      <c r="C22" s="554"/>
      <c r="D22" s="555"/>
      <c r="E22" s="194">
        <v>3</v>
      </c>
      <c r="F22" s="195"/>
      <c r="G22" s="196"/>
      <c r="H22" s="217"/>
      <c r="I22" s="198"/>
    </row>
    <row r="23" spans="1:12" ht="15">
      <c r="A23" s="193" t="s">
        <v>347</v>
      </c>
      <c r="B23" s="573" t="s">
        <v>348</v>
      </c>
      <c r="C23" s="580"/>
      <c r="D23" s="581"/>
      <c r="E23" s="194">
        <v>0</v>
      </c>
      <c r="F23" s="195"/>
      <c r="G23" s="196"/>
      <c r="H23" s="217"/>
      <c r="I23" s="198"/>
    </row>
    <row r="24" spans="1:12" ht="15">
      <c r="A24" s="193" t="s">
        <v>349</v>
      </c>
      <c r="B24" s="573" t="s">
        <v>350</v>
      </c>
      <c r="C24" s="554"/>
      <c r="D24" s="555"/>
      <c r="E24" s="194">
        <v>0</v>
      </c>
      <c r="F24" s="195"/>
      <c r="G24" s="196"/>
      <c r="H24" s="197"/>
      <c r="I24" s="198"/>
    </row>
    <row r="25" spans="1:12">
      <c r="A25" s="193"/>
      <c r="B25" s="553" t="s">
        <v>351</v>
      </c>
      <c r="C25" s="554"/>
      <c r="D25" s="555"/>
      <c r="E25" s="219"/>
      <c r="F25" s="220"/>
      <c r="G25" s="221"/>
      <c r="H25" s="222"/>
      <c r="I25" s="223"/>
    </row>
    <row r="26" spans="1:12" ht="12.75" customHeight="1">
      <c r="A26" s="587" t="s">
        <v>352</v>
      </c>
      <c r="B26" s="588"/>
      <c r="C26" s="588"/>
      <c r="D26" s="589"/>
      <c r="E26" s="592">
        <f>(((1+((E12+E13+E14)/100))*(1+((E15)/100))*(1+((E17/100)))/(1-((E21+E22+E23+E24)/100)))-1)</f>
        <v>0.15278047942916428</v>
      </c>
      <c r="F26" s="594"/>
      <c r="G26" s="595"/>
      <c r="H26" s="595"/>
      <c r="I26" s="582"/>
      <c r="L26" s="254"/>
    </row>
    <row r="27" spans="1:12" ht="23.25" customHeight="1" thickBot="1">
      <c r="A27" s="600"/>
      <c r="B27" s="601"/>
      <c r="C27" s="601"/>
      <c r="D27" s="602"/>
      <c r="E27" s="593"/>
      <c r="F27" s="602"/>
      <c r="G27" s="603"/>
      <c r="H27" s="603"/>
      <c r="I27" s="599"/>
      <c r="K27" s="254">
        <f>E26</f>
        <v>0.15278047942916428</v>
      </c>
    </row>
    <row r="28" spans="1:12">
      <c r="A28" s="224"/>
      <c r="B28" s="225"/>
      <c r="C28" s="226"/>
      <c r="D28" s="226"/>
      <c r="E28" s="227"/>
      <c r="F28" s="228"/>
      <c r="G28" s="229"/>
      <c r="H28" s="229"/>
      <c r="I28" s="230"/>
    </row>
    <row r="29" spans="1:12" ht="12.75" customHeight="1">
      <c r="A29" s="231" t="s">
        <v>353</v>
      </c>
      <c r="B29" s="232"/>
      <c r="C29" s="233"/>
      <c r="D29" s="233"/>
      <c r="E29" s="234"/>
      <c r="F29" s="235"/>
      <c r="G29" s="236"/>
      <c r="H29" s="237"/>
      <c r="I29" s="238"/>
    </row>
    <row r="30" spans="1:12">
      <c r="A30" s="231"/>
      <c r="B30" s="233"/>
      <c r="C30" s="239"/>
      <c r="D30" s="239"/>
      <c r="E30" s="234"/>
      <c r="F30" s="235"/>
      <c r="G30" s="237"/>
      <c r="H30" s="237"/>
      <c r="I30" s="238"/>
    </row>
    <row r="31" spans="1:12" ht="15.75">
      <c r="A31" s="231"/>
      <c r="B31" s="233"/>
      <c r="C31" s="233"/>
      <c r="D31" s="233"/>
      <c r="E31" s="234"/>
      <c r="F31" s="235"/>
      <c r="G31" s="584"/>
      <c r="H31" s="584"/>
      <c r="I31" s="240"/>
    </row>
    <row r="32" spans="1:12" ht="15.75">
      <c r="A32" s="231"/>
      <c r="B32" s="233"/>
      <c r="C32" s="233"/>
      <c r="D32" s="233"/>
      <c r="E32" s="234"/>
      <c r="F32" s="235"/>
      <c r="G32" s="584"/>
      <c r="H32" s="584"/>
      <c r="I32" s="240"/>
    </row>
    <row r="33" spans="1:9" ht="15.75">
      <c r="A33" s="231"/>
      <c r="B33" s="233"/>
      <c r="C33" s="233"/>
      <c r="D33" s="233"/>
      <c r="E33" s="234"/>
      <c r="F33" s="235"/>
      <c r="G33" s="584"/>
      <c r="H33" s="584"/>
      <c r="I33" s="240"/>
    </row>
    <row r="34" spans="1:9" ht="15.75">
      <c r="A34" s="231"/>
      <c r="B34" s="585"/>
      <c r="C34" s="548"/>
      <c r="D34" s="548"/>
      <c r="E34" s="549"/>
      <c r="F34" s="241"/>
      <c r="G34" s="584"/>
      <c r="H34" s="584"/>
      <c r="I34" s="240"/>
    </row>
    <row r="35" spans="1:9" ht="15.75">
      <c r="A35" s="231"/>
      <c r="B35" s="548"/>
      <c r="C35" s="548"/>
      <c r="D35" s="548"/>
      <c r="E35" s="549"/>
      <c r="F35" s="235"/>
      <c r="G35" s="584"/>
      <c r="H35" s="584"/>
      <c r="I35" s="240"/>
    </row>
    <row r="36" spans="1:9" ht="15.75">
      <c r="A36" s="231"/>
      <c r="B36" s="591"/>
      <c r="C36" s="548"/>
      <c r="D36" s="548"/>
      <c r="E36" s="549"/>
      <c r="F36" s="235"/>
      <c r="G36" s="584"/>
      <c r="H36" s="586"/>
      <c r="I36" s="240"/>
    </row>
    <row r="37" spans="1:9" ht="13.5" thickBot="1">
      <c r="A37" s="242"/>
      <c r="B37" s="551"/>
      <c r="C37" s="551"/>
      <c r="D37" s="551"/>
      <c r="E37" s="552"/>
      <c r="F37" s="243"/>
      <c r="G37" s="244"/>
      <c r="H37" s="245"/>
      <c r="I37" s="246"/>
    </row>
    <row r="43" spans="1:9">
      <c r="B43" s="248"/>
    </row>
    <row r="44" spans="1:9">
      <c r="B44" s="249"/>
    </row>
    <row r="45" spans="1:9">
      <c r="B45" s="249"/>
    </row>
    <row r="46" spans="1:9">
      <c r="B46" s="249"/>
    </row>
  </sheetData>
  <mergeCells count="36">
    <mergeCell ref="I26:I27"/>
    <mergeCell ref="G31:G34"/>
    <mergeCell ref="H31: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topLeftCell="C1" zoomScale="80" zoomScaleNormal="85" zoomScaleSheetLayoutView="80" workbookViewId="0">
      <selection activeCell="AF54" sqref="AF54"/>
    </sheetView>
  </sheetViews>
  <sheetFormatPr defaultRowHeight="12.75"/>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c r="A1" s="663" t="s">
        <v>481</v>
      </c>
      <c r="B1" s="664"/>
      <c r="C1" s="664"/>
      <c r="D1" s="664"/>
      <c r="E1" s="665"/>
      <c r="F1" s="672" t="str">
        <f>RESUMO!A3</f>
        <v>MANUTENÇÃO CORRETIVA, PREVENTIVA E CONSERVAÇÃO DA MALHA VIÁRIA</v>
      </c>
      <c r="G1" s="673"/>
      <c r="H1" s="673"/>
      <c r="I1" s="673"/>
      <c r="J1" s="673"/>
      <c r="K1" s="673"/>
      <c r="L1" s="673"/>
      <c r="M1" s="673"/>
      <c r="N1" s="673"/>
      <c r="O1" s="673"/>
      <c r="P1" s="673"/>
      <c r="Q1" s="673"/>
      <c r="R1" s="673"/>
      <c r="S1" s="673"/>
      <c r="T1" s="673"/>
      <c r="U1" s="673"/>
      <c r="V1" s="673"/>
      <c r="W1" s="674"/>
      <c r="X1" s="347"/>
      <c r="Y1" s="347"/>
      <c r="Z1" s="347"/>
      <c r="AA1" s="347"/>
      <c r="AB1" s="347"/>
      <c r="AC1" s="347"/>
      <c r="AD1" s="347"/>
      <c r="AE1" s="347"/>
      <c r="AF1" s="347"/>
      <c r="AG1" s="347"/>
      <c r="AH1" s="347"/>
      <c r="AI1" s="347"/>
      <c r="AJ1" s="347"/>
      <c r="AK1" s="347"/>
      <c r="AL1" s="347"/>
      <c r="AM1" s="347"/>
      <c r="AN1" s="347"/>
      <c r="AO1" s="347"/>
    </row>
    <row r="2" spans="1:43" ht="12.75" customHeight="1">
      <c r="A2" s="666"/>
      <c r="B2" s="667"/>
      <c r="C2" s="667"/>
      <c r="D2" s="667"/>
      <c r="E2" s="668"/>
      <c r="F2" s="675"/>
      <c r="G2" s="676"/>
      <c r="H2" s="676"/>
      <c r="I2" s="676"/>
      <c r="J2" s="676"/>
      <c r="K2" s="676"/>
      <c r="L2" s="676"/>
      <c r="M2" s="676"/>
      <c r="N2" s="676"/>
      <c r="O2" s="676"/>
      <c r="P2" s="676"/>
      <c r="Q2" s="676"/>
      <c r="R2" s="676"/>
      <c r="S2" s="676"/>
      <c r="T2" s="676"/>
      <c r="U2" s="676"/>
      <c r="V2" s="676"/>
      <c r="W2" s="677"/>
      <c r="X2" s="347"/>
      <c r="Y2" s="347"/>
      <c r="Z2" s="347"/>
      <c r="AA2" s="347"/>
      <c r="AB2" s="347"/>
      <c r="AC2" s="347"/>
      <c r="AD2" s="347"/>
      <c r="AE2" s="347"/>
      <c r="AF2" s="347"/>
      <c r="AG2" s="347"/>
      <c r="AH2" s="347"/>
      <c r="AI2" s="347"/>
      <c r="AJ2" s="347"/>
      <c r="AK2" s="347"/>
      <c r="AL2" s="347"/>
      <c r="AM2" s="347"/>
      <c r="AN2" s="347"/>
      <c r="AO2" s="347"/>
    </row>
    <row r="3" spans="1:43" ht="12.75" customHeight="1">
      <c r="A3" s="669"/>
      <c r="B3" s="670"/>
      <c r="C3" s="670"/>
      <c r="D3" s="670"/>
      <c r="E3" s="671"/>
      <c r="F3" s="678"/>
      <c r="G3" s="679"/>
      <c r="H3" s="679"/>
      <c r="I3" s="679"/>
      <c r="J3" s="679"/>
      <c r="K3" s="679"/>
      <c r="L3" s="679"/>
      <c r="M3" s="679"/>
      <c r="N3" s="679"/>
      <c r="O3" s="679"/>
      <c r="P3" s="679"/>
      <c r="Q3" s="679"/>
      <c r="R3" s="679"/>
      <c r="S3" s="679"/>
      <c r="T3" s="679"/>
      <c r="U3" s="679"/>
      <c r="V3" s="679"/>
      <c r="W3" s="680"/>
      <c r="X3" s="347"/>
      <c r="Y3" s="347"/>
      <c r="Z3" s="347"/>
      <c r="AA3" s="347"/>
      <c r="AB3" s="347"/>
      <c r="AC3" s="347"/>
      <c r="AD3" s="347"/>
      <c r="AE3" s="347"/>
      <c r="AF3" s="347"/>
      <c r="AG3" s="347"/>
      <c r="AH3" s="347"/>
      <c r="AI3" s="347"/>
      <c r="AJ3" s="347"/>
      <c r="AK3" s="347"/>
      <c r="AL3" s="347"/>
      <c r="AM3" s="347"/>
      <c r="AN3" s="347"/>
      <c r="AO3" s="347"/>
    </row>
    <row r="4" spans="1:43" ht="18">
      <c r="A4" s="681" t="s">
        <v>514</v>
      </c>
      <c r="B4" s="682"/>
      <c r="C4" s="682"/>
      <c r="D4" s="682"/>
      <c r="E4" s="682"/>
      <c r="F4" s="682"/>
      <c r="G4" s="682"/>
      <c r="H4" s="682"/>
      <c r="I4" s="682"/>
      <c r="J4" s="682"/>
      <c r="K4" s="682"/>
      <c r="L4" s="682"/>
      <c r="M4" s="682"/>
      <c r="N4" s="682"/>
      <c r="O4" s="682"/>
      <c r="P4" s="682"/>
      <c r="Q4" s="682"/>
      <c r="R4" s="682"/>
      <c r="S4" s="682"/>
      <c r="T4" s="682"/>
      <c r="U4" s="682"/>
      <c r="V4" s="682"/>
      <c r="W4" s="683"/>
      <c r="X4" s="347"/>
      <c r="Y4" s="347"/>
      <c r="Z4" s="347"/>
      <c r="AA4" s="347"/>
      <c r="AB4" s="347"/>
      <c r="AC4" s="347"/>
      <c r="AD4" s="347"/>
      <c r="AE4" s="347"/>
      <c r="AF4" s="347"/>
      <c r="AG4" s="347"/>
      <c r="AH4" s="347"/>
      <c r="AI4" s="347"/>
      <c r="AJ4" s="347"/>
      <c r="AK4" s="347"/>
      <c r="AL4" s="347"/>
      <c r="AM4" s="347"/>
      <c r="AN4" s="347"/>
      <c r="AO4" s="347"/>
    </row>
    <row r="5" spans="1:43" ht="15.75">
      <c r="A5" s="684"/>
      <c r="B5" s="685"/>
      <c r="C5" s="685"/>
      <c r="D5" s="685"/>
      <c r="E5" s="686"/>
      <c r="F5" s="687" t="s">
        <v>482</v>
      </c>
      <c r="G5" s="687"/>
      <c r="H5" s="687"/>
      <c r="I5" s="687"/>
      <c r="J5" s="687"/>
      <c r="K5" s="687"/>
      <c r="L5" s="687"/>
      <c r="M5" s="687"/>
      <c r="N5" s="687"/>
      <c r="O5" s="687"/>
      <c r="P5" s="687"/>
      <c r="Q5" s="687"/>
      <c r="R5" s="687"/>
      <c r="S5" s="687"/>
      <c r="T5" s="687"/>
      <c r="U5" s="687"/>
      <c r="V5" s="687"/>
      <c r="W5" s="688"/>
      <c r="X5" s="348"/>
      <c r="Y5" s="348"/>
      <c r="Z5" s="348"/>
      <c r="AA5" s="348"/>
      <c r="AB5" s="348"/>
      <c r="AC5" s="348"/>
      <c r="AD5" s="348"/>
      <c r="AE5" s="348"/>
      <c r="AF5" s="348"/>
      <c r="AG5" s="348"/>
      <c r="AH5" s="348"/>
      <c r="AI5" s="348"/>
      <c r="AJ5" s="348"/>
      <c r="AK5" s="348"/>
      <c r="AL5" s="348"/>
      <c r="AM5" s="348"/>
      <c r="AN5" s="348"/>
      <c r="AO5" s="348"/>
    </row>
    <row r="6" spans="1:43">
      <c r="A6" s="333" t="s">
        <v>483</v>
      </c>
      <c r="B6" s="689" t="s">
        <v>484</v>
      </c>
      <c r="C6" s="690"/>
      <c r="D6" s="333" t="s">
        <v>438</v>
      </c>
      <c r="E6" s="333" t="s">
        <v>485</v>
      </c>
      <c r="F6" s="642">
        <v>30</v>
      </c>
      <c r="G6" s="642"/>
      <c r="H6" s="642"/>
      <c r="I6" s="642">
        <v>60</v>
      </c>
      <c r="J6" s="642"/>
      <c r="K6" s="642"/>
      <c r="L6" s="642">
        <v>90</v>
      </c>
      <c r="M6" s="642"/>
      <c r="N6" s="642"/>
      <c r="O6" s="691">
        <v>120</v>
      </c>
      <c r="P6" s="642"/>
      <c r="Q6" s="642"/>
      <c r="R6" s="691">
        <v>150</v>
      </c>
      <c r="S6" s="642"/>
      <c r="T6" s="642"/>
      <c r="U6" s="642">
        <v>180</v>
      </c>
      <c r="V6" s="642"/>
      <c r="W6" s="642"/>
      <c r="X6" s="642">
        <v>210</v>
      </c>
      <c r="Y6" s="642"/>
      <c r="Z6" s="642"/>
      <c r="AA6" s="642">
        <v>240</v>
      </c>
      <c r="AB6" s="642"/>
      <c r="AC6" s="642"/>
      <c r="AD6" s="642">
        <v>270</v>
      </c>
      <c r="AE6" s="642"/>
      <c r="AF6" s="642"/>
      <c r="AG6" s="642">
        <v>300</v>
      </c>
      <c r="AH6" s="642"/>
      <c r="AI6" s="642"/>
      <c r="AJ6" s="642">
        <v>330</v>
      </c>
      <c r="AK6" s="642"/>
      <c r="AL6" s="642"/>
      <c r="AM6" s="642">
        <v>360</v>
      </c>
      <c r="AN6" s="642"/>
      <c r="AO6" s="642"/>
    </row>
    <row r="7" spans="1:43">
      <c r="A7" s="616" t="s">
        <v>328</v>
      </c>
      <c r="B7" s="618" t="str">
        <f>RESUMO!B18</f>
        <v>RECAPEAMENTO (E=5CM)</v>
      </c>
      <c r="C7" s="619"/>
      <c r="D7" s="622">
        <f>E7/$E$40</f>
        <v>0.56041710861373573</v>
      </c>
      <c r="E7" s="624">
        <f>RESUMO!C18</f>
        <v>10447155.5</v>
      </c>
      <c r="F7" s="607">
        <f>$E$7*F9</f>
        <v>1044715.55</v>
      </c>
      <c r="G7" s="608"/>
      <c r="H7" s="609"/>
      <c r="I7" s="607">
        <f t="shared" ref="I7" si="0">$E$7*I9</f>
        <v>1044715.55</v>
      </c>
      <c r="J7" s="608"/>
      <c r="K7" s="609"/>
      <c r="L7" s="607">
        <f t="shared" ref="L7" si="1">$E$7*L9</f>
        <v>1044715.55</v>
      </c>
      <c r="M7" s="608"/>
      <c r="N7" s="609"/>
      <c r="O7" s="607">
        <f t="shared" ref="O7" si="2">$E$7*O9</f>
        <v>1044715.55</v>
      </c>
      <c r="P7" s="608"/>
      <c r="Q7" s="609"/>
      <c r="R7" s="607">
        <f t="shared" ref="R7" si="3">$E$7*R9</f>
        <v>1044715.55</v>
      </c>
      <c r="S7" s="608"/>
      <c r="T7" s="609"/>
      <c r="U7" s="607">
        <f t="shared" ref="U7" si="4">$E$7*U9</f>
        <v>1044715.55</v>
      </c>
      <c r="V7" s="608"/>
      <c r="W7" s="609"/>
      <c r="X7" s="607">
        <f t="shared" ref="X7" si="5">$E$7*X9</f>
        <v>1044715.55</v>
      </c>
      <c r="Y7" s="608"/>
      <c r="Z7" s="609"/>
      <c r="AA7" s="607">
        <f t="shared" ref="AA7" si="6">$E$7*AA9</f>
        <v>1044715.55</v>
      </c>
      <c r="AB7" s="608"/>
      <c r="AC7" s="609"/>
      <c r="AD7" s="607">
        <f t="shared" ref="AD7" si="7">$E$7*AD9</f>
        <v>1044715.55</v>
      </c>
      <c r="AE7" s="608"/>
      <c r="AF7" s="609"/>
      <c r="AG7" s="607">
        <f t="shared" ref="AG7" si="8">$E$7*AG9</f>
        <v>1044715.55</v>
      </c>
      <c r="AH7" s="608"/>
      <c r="AI7" s="609"/>
      <c r="AJ7" s="607">
        <f t="shared" ref="AJ7" si="9">$E$7*AJ9</f>
        <v>0</v>
      </c>
      <c r="AK7" s="608"/>
      <c r="AL7" s="609"/>
      <c r="AM7" s="607">
        <f t="shared" ref="AM7" si="10">$E$7*AM9</f>
        <v>0</v>
      </c>
      <c r="AN7" s="608"/>
      <c r="AO7" s="609"/>
      <c r="AP7" s="350">
        <f>SUM(F7:AO7)</f>
        <v>10447155.5</v>
      </c>
      <c r="AQ7" s="334">
        <f>AP7-E7</f>
        <v>0</v>
      </c>
    </row>
    <row r="8" spans="1:43">
      <c r="A8" s="617"/>
      <c r="B8" s="620"/>
      <c r="C8" s="621"/>
      <c r="D8" s="623"/>
      <c r="E8" s="625"/>
      <c r="F8" s="610"/>
      <c r="G8" s="611"/>
      <c r="H8" s="612"/>
      <c r="I8" s="610"/>
      <c r="J8" s="611"/>
      <c r="K8" s="612"/>
      <c r="L8" s="610"/>
      <c r="M8" s="611"/>
      <c r="N8" s="612"/>
      <c r="O8" s="610"/>
      <c r="P8" s="611"/>
      <c r="Q8" s="612"/>
      <c r="R8" s="610"/>
      <c r="S8" s="611"/>
      <c r="T8" s="612"/>
      <c r="U8" s="610"/>
      <c r="V8" s="611"/>
      <c r="W8" s="612"/>
      <c r="X8" s="610"/>
      <c r="Y8" s="611"/>
      <c r="Z8" s="612"/>
      <c r="AA8" s="610"/>
      <c r="AB8" s="611"/>
      <c r="AC8" s="612"/>
      <c r="AD8" s="610"/>
      <c r="AE8" s="611"/>
      <c r="AF8" s="612"/>
      <c r="AG8" s="610"/>
      <c r="AH8" s="611"/>
      <c r="AI8" s="612"/>
      <c r="AJ8" s="610"/>
      <c r="AK8" s="611"/>
      <c r="AL8" s="612"/>
      <c r="AM8" s="610"/>
      <c r="AN8" s="611"/>
      <c r="AO8" s="612"/>
    </row>
    <row r="9" spans="1:43">
      <c r="A9" s="617"/>
      <c r="B9" s="620"/>
      <c r="C9" s="621"/>
      <c r="D9" s="623"/>
      <c r="E9" s="626"/>
      <c r="F9" s="604">
        <v>0.1</v>
      </c>
      <c r="G9" s="605"/>
      <c r="H9" s="606"/>
      <c r="I9" s="604">
        <v>0.1</v>
      </c>
      <c r="J9" s="605"/>
      <c r="K9" s="606"/>
      <c r="L9" s="604">
        <v>0.1</v>
      </c>
      <c r="M9" s="605"/>
      <c r="N9" s="606"/>
      <c r="O9" s="604">
        <v>0.1</v>
      </c>
      <c r="P9" s="605"/>
      <c r="Q9" s="606"/>
      <c r="R9" s="604">
        <v>0.1</v>
      </c>
      <c r="S9" s="605"/>
      <c r="T9" s="606"/>
      <c r="U9" s="604">
        <v>0.1</v>
      </c>
      <c r="V9" s="605"/>
      <c r="W9" s="606"/>
      <c r="X9" s="604">
        <v>0.1</v>
      </c>
      <c r="Y9" s="605"/>
      <c r="Z9" s="606"/>
      <c r="AA9" s="604">
        <v>0.1</v>
      </c>
      <c r="AB9" s="605"/>
      <c r="AC9" s="606"/>
      <c r="AD9" s="604">
        <v>0.1</v>
      </c>
      <c r="AE9" s="605"/>
      <c r="AF9" s="606"/>
      <c r="AG9" s="604">
        <v>0.1</v>
      </c>
      <c r="AH9" s="605"/>
      <c r="AI9" s="606"/>
      <c r="AJ9" s="604">
        <v>0</v>
      </c>
      <c r="AK9" s="605"/>
      <c r="AL9" s="606"/>
      <c r="AM9" s="604">
        <v>0</v>
      </c>
      <c r="AN9" s="605"/>
      <c r="AO9" s="606"/>
      <c r="AP9" s="338">
        <f>SUM(F9:AO9)</f>
        <v>0.99999999999999989</v>
      </c>
    </row>
    <row r="10" spans="1:43">
      <c r="A10" s="616" t="s">
        <v>337</v>
      </c>
      <c r="B10" s="618" t="str">
        <f>RESUMO!B21</f>
        <v>REPERFILAMENTO (E=3CM)</v>
      </c>
      <c r="C10" s="619"/>
      <c r="D10" s="622">
        <f>E10/$E$40</f>
        <v>8.5429676425395826E-2</v>
      </c>
      <c r="E10" s="624">
        <f>RESUMO!C21</f>
        <v>1592558.6500000001</v>
      </c>
      <c r="F10" s="607">
        <f>$E$10*F12</f>
        <v>159255.86500000002</v>
      </c>
      <c r="G10" s="608"/>
      <c r="H10" s="609"/>
      <c r="I10" s="607">
        <f t="shared" ref="I10" si="11">$E$10*I12</f>
        <v>159255.86500000002</v>
      </c>
      <c r="J10" s="608"/>
      <c r="K10" s="609"/>
      <c r="L10" s="607">
        <f t="shared" ref="L10" si="12">$E$10*L12</f>
        <v>159255.86500000002</v>
      </c>
      <c r="M10" s="608"/>
      <c r="N10" s="609"/>
      <c r="O10" s="607">
        <f t="shared" ref="O10" si="13">$E$10*O12</f>
        <v>159255.86500000002</v>
      </c>
      <c r="P10" s="608"/>
      <c r="Q10" s="609"/>
      <c r="R10" s="607">
        <f t="shared" ref="R10" si="14">$E$10*R12</f>
        <v>159255.86500000002</v>
      </c>
      <c r="S10" s="608"/>
      <c r="T10" s="609"/>
      <c r="U10" s="607">
        <f t="shared" ref="U10" si="15">$E$10*U12</f>
        <v>159255.86500000002</v>
      </c>
      <c r="V10" s="608"/>
      <c r="W10" s="609"/>
      <c r="X10" s="607">
        <f t="shared" ref="X10" si="16">$E$10*X12</f>
        <v>159255.86500000002</v>
      </c>
      <c r="Y10" s="608"/>
      <c r="Z10" s="609"/>
      <c r="AA10" s="607">
        <f t="shared" ref="AA10" si="17">$E$10*AA12</f>
        <v>159255.86500000002</v>
      </c>
      <c r="AB10" s="608"/>
      <c r="AC10" s="609"/>
      <c r="AD10" s="607">
        <f t="shared" ref="AD10" si="18">$E$10*AD12</f>
        <v>159255.86500000002</v>
      </c>
      <c r="AE10" s="608"/>
      <c r="AF10" s="609"/>
      <c r="AG10" s="607">
        <f t="shared" ref="AG10" si="19">$E$10*AG12</f>
        <v>159255.86500000002</v>
      </c>
      <c r="AH10" s="608"/>
      <c r="AI10" s="609"/>
      <c r="AJ10" s="607">
        <f t="shared" ref="AJ10" si="20">$E$10*AJ12</f>
        <v>0</v>
      </c>
      <c r="AK10" s="608"/>
      <c r="AL10" s="609"/>
      <c r="AM10" s="607">
        <f t="shared" ref="AM10" si="21">$E$10*AM12</f>
        <v>0</v>
      </c>
      <c r="AN10" s="608"/>
      <c r="AO10" s="609"/>
      <c r="AP10" s="350">
        <f>SUM(F10:AO10)</f>
        <v>1592558.6500000001</v>
      </c>
      <c r="AQ10" s="334">
        <f>AP10-E10</f>
        <v>0</v>
      </c>
    </row>
    <row r="11" spans="1:43">
      <c r="A11" s="617"/>
      <c r="B11" s="620"/>
      <c r="C11" s="621"/>
      <c r="D11" s="623"/>
      <c r="E11" s="625"/>
      <c r="F11" s="610"/>
      <c r="G11" s="611"/>
      <c r="H11" s="612"/>
      <c r="I11" s="610"/>
      <c r="J11" s="611"/>
      <c r="K11" s="612"/>
      <c r="L11" s="610"/>
      <c r="M11" s="611"/>
      <c r="N11" s="612"/>
      <c r="O11" s="610"/>
      <c r="P11" s="611"/>
      <c r="Q11" s="612"/>
      <c r="R11" s="610"/>
      <c r="S11" s="611"/>
      <c r="T11" s="612"/>
      <c r="U11" s="610"/>
      <c r="V11" s="611"/>
      <c r="W11" s="612"/>
      <c r="X11" s="610"/>
      <c r="Y11" s="611"/>
      <c r="Z11" s="612"/>
      <c r="AA11" s="610"/>
      <c r="AB11" s="611"/>
      <c r="AC11" s="612"/>
      <c r="AD11" s="610"/>
      <c r="AE11" s="611"/>
      <c r="AF11" s="612"/>
      <c r="AG11" s="610"/>
      <c r="AH11" s="611"/>
      <c r="AI11" s="612"/>
      <c r="AJ11" s="610"/>
      <c r="AK11" s="611"/>
      <c r="AL11" s="612"/>
      <c r="AM11" s="610"/>
      <c r="AN11" s="611"/>
      <c r="AO11" s="612"/>
    </row>
    <row r="12" spans="1:43">
      <c r="A12" s="617"/>
      <c r="B12" s="620"/>
      <c r="C12" s="621"/>
      <c r="D12" s="623"/>
      <c r="E12" s="626"/>
      <c r="F12" s="604">
        <v>0.1</v>
      </c>
      <c r="G12" s="605"/>
      <c r="H12" s="606"/>
      <c r="I12" s="604">
        <v>0.1</v>
      </c>
      <c r="J12" s="605"/>
      <c r="K12" s="606"/>
      <c r="L12" s="604">
        <v>0.1</v>
      </c>
      <c r="M12" s="605"/>
      <c r="N12" s="606"/>
      <c r="O12" s="604">
        <v>0.1</v>
      </c>
      <c r="P12" s="605"/>
      <c r="Q12" s="606"/>
      <c r="R12" s="604">
        <v>0.1</v>
      </c>
      <c r="S12" s="605"/>
      <c r="T12" s="606"/>
      <c r="U12" s="604">
        <v>0.1</v>
      </c>
      <c r="V12" s="605"/>
      <c r="W12" s="606"/>
      <c r="X12" s="604">
        <v>0.1</v>
      </c>
      <c r="Y12" s="605"/>
      <c r="Z12" s="606"/>
      <c r="AA12" s="604">
        <v>0.1</v>
      </c>
      <c r="AB12" s="605"/>
      <c r="AC12" s="606"/>
      <c r="AD12" s="604">
        <v>0.1</v>
      </c>
      <c r="AE12" s="605"/>
      <c r="AF12" s="606"/>
      <c r="AG12" s="604">
        <v>0.1</v>
      </c>
      <c r="AH12" s="605"/>
      <c r="AI12" s="606"/>
      <c r="AJ12" s="604">
        <v>0</v>
      </c>
      <c r="AK12" s="605"/>
      <c r="AL12" s="606"/>
      <c r="AM12" s="604">
        <v>0</v>
      </c>
      <c r="AN12" s="605"/>
      <c r="AO12" s="606"/>
      <c r="AP12" s="338">
        <f>SUM(F12:AO12)</f>
        <v>0.99999999999999989</v>
      </c>
    </row>
    <row r="13" spans="1:43" ht="12.75" customHeight="1">
      <c r="A13" s="616" t="s">
        <v>341</v>
      </c>
      <c r="B13" s="618" t="str">
        <f>RESUMO!B24</f>
        <v>TAPA BURACO -  C/ MBUQ</v>
      </c>
      <c r="C13" s="619"/>
      <c r="D13" s="622">
        <f>E13/$E$40</f>
        <v>5.7245889132673346E-2</v>
      </c>
      <c r="E13" s="624">
        <f>RESUMO!C24</f>
        <v>1067163.5399999998</v>
      </c>
      <c r="F13" s="607">
        <f>$E$13*F15</f>
        <v>106716.35399999999</v>
      </c>
      <c r="G13" s="608"/>
      <c r="H13" s="609"/>
      <c r="I13" s="607">
        <f t="shared" ref="I13" si="22">$E$13*I15</f>
        <v>106716.35399999999</v>
      </c>
      <c r="J13" s="608"/>
      <c r="K13" s="609"/>
      <c r="L13" s="607">
        <f t="shared" ref="L13" si="23">$E$13*L15</f>
        <v>106716.35399999999</v>
      </c>
      <c r="M13" s="608"/>
      <c r="N13" s="609"/>
      <c r="O13" s="607">
        <f t="shared" ref="O13" si="24">$E$13*O15</f>
        <v>106716.35399999999</v>
      </c>
      <c r="P13" s="608"/>
      <c r="Q13" s="609"/>
      <c r="R13" s="607">
        <f t="shared" ref="R13" si="25">$E$13*R15</f>
        <v>106716.35399999999</v>
      </c>
      <c r="S13" s="608"/>
      <c r="T13" s="609"/>
      <c r="U13" s="607">
        <f t="shared" ref="U13" si="26">$E$13*U15</f>
        <v>106716.35399999999</v>
      </c>
      <c r="V13" s="608"/>
      <c r="W13" s="609"/>
      <c r="X13" s="607">
        <f t="shared" ref="X13" si="27">$E$13*X15</f>
        <v>106716.35399999999</v>
      </c>
      <c r="Y13" s="608"/>
      <c r="Z13" s="609"/>
      <c r="AA13" s="607">
        <f t="shared" ref="AA13" si="28">$E$13*AA15</f>
        <v>106716.35399999999</v>
      </c>
      <c r="AB13" s="608"/>
      <c r="AC13" s="609"/>
      <c r="AD13" s="607">
        <f t="shared" ref="AD13" si="29">$E$13*AD15</f>
        <v>106716.35399999999</v>
      </c>
      <c r="AE13" s="608"/>
      <c r="AF13" s="609"/>
      <c r="AG13" s="607">
        <f t="shared" ref="AG13" si="30">$E$13*AG15</f>
        <v>106716.35399999999</v>
      </c>
      <c r="AH13" s="608"/>
      <c r="AI13" s="609"/>
      <c r="AJ13" s="607">
        <f t="shared" ref="AJ13" si="31">$E$13*AJ15</f>
        <v>0</v>
      </c>
      <c r="AK13" s="608"/>
      <c r="AL13" s="609"/>
      <c r="AM13" s="607">
        <f t="shared" ref="AM13" si="32">$E$13*AM15</f>
        <v>0</v>
      </c>
      <c r="AN13" s="608"/>
      <c r="AO13" s="609"/>
      <c r="AP13" s="350">
        <f>SUM(F13:AO13)</f>
        <v>1067163.5400000003</v>
      </c>
      <c r="AQ13" s="334">
        <f>AP13-E13</f>
        <v>0</v>
      </c>
    </row>
    <row r="14" spans="1:43">
      <c r="A14" s="617"/>
      <c r="B14" s="620"/>
      <c r="C14" s="621"/>
      <c r="D14" s="623"/>
      <c r="E14" s="625"/>
      <c r="F14" s="610"/>
      <c r="G14" s="611"/>
      <c r="H14" s="612"/>
      <c r="I14" s="610"/>
      <c r="J14" s="611"/>
      <c r="K14" s="612"/>
      <c r="L14" s="610"/>
      <c r="M14" s="611"/>
      <c r="N14" s="612"/>
      <c r="O14" s="610"/>
      <c r="P14" s="611"/>
      <c r="Q14" s="612"/>
      <c r="R14" s="610"/>
      <c r="S14" s="611"/>
      <c r="T14" s="612"/>
      <c r="U14" s="610"/>
      <c r="V14" s="611"/>
      <c r="W14" s="612"/>
      <c r="X14" s="610"/>
      <c r="Y14" s="611"/>
      <c r="Z14" s="612"/>
      <c r="AA14" s="610"/>
      <c r="AB14" s="611"/>
      <c r="AC14" s="612"/>
      <c r="AD14" s="610"/>
      <c r="AE14" s="611"/>
      <c r="AF14" s="612"/>
      <c r="AG14" s="610"/>
      <c r="AH14" s="611"/>
      <c r="AI14" s="612"/>
      <c r="AJ14" s="610"/>
      <c r="AK14" s="611"/>
      <c r="AL14" s="612"/>
      <c r="AM14" s="610"/>
      <c r="AN14" s="611"/>
      <c r="AO14" s="612"/>
    </row>
    <row r="15" spans="1:43">
      <c r="A15" s="617"/>
      <c r="B15" s="620"/>
      <c r="C15" s="621"/>
      <c r="D15" s="623"/>
      <c r="E15" s="626"/>
      <c r="F15" s="604">
        <v>0.1</v>
      </c>
      <c r="G15" s="605"/>
      <c r="H15" s="606"/>
      <c r="I15" s="604">
        <v>0.1</v>
      </c>
      <c r="J15" s="605"/>
      <c r="K15" s="606"/>
      <c r="L15" s="604">
        <v>0.1</v>
      </c>
      <c r="M15" s="605"/>
      <c r="N15" s="606"/>
      <c r="O15" s="604">
        <v>0.1</v>
      </c>
      <c r="P15" s="605"/>
      <c r="Q15" s="606"/>
      <c r="R15" s="604">
        <v>0.1</v>
      </c>
      <c r="S15" s="605"/>
      <c r="T15" s="606"/>
      <c r="U15" s="604">
        <v>0.1</v>
      </c>
      <c r="V15" s="605"/>
      <c r="W15" s="606"/>
      <c r="X15" s="604">
        <v>0.1</v>
      </c>
      <c r="Y15" s="605"/>
      <c r="Z15" s="606"/>
      <c r="AA15" s="604">
        <v>0.1</v>
      </c>
      <c r="AB15" s="605"/>
      <c r="AC15" s="606"/>
      <c r="AD15" s="604">
        <v>0.1</v>
      </c>
      <c r="AE15" s="605"/>
      <c r="AF15" s="606"/>
      <c r="AG15" s="604">
        <v>0.1</v>
      </c>
      <c r="AH15" s="605"/>
      <c r="AI15" s="606"/>
      <c r="AJ15" s="604">
        <v>0</v>
      </c>
      <c r="AK15" s="605"/>
      <c r="AL15" s="606"/>
      <c r="AM15" s="604">
        <v>0</v>
      </c>
      <c r="AN15" s="605"/>
      <c r="AO15" s="606"/>
      <c r="AP15" s="338">
        <f>SUM(F15:AO15)</f>
        <v>0.99999999999999989</v>
      </c>
    </row>
    <row r="16" spans="1:43">
      <c r="A16" s="616" t="s">
        <v>502</v>
      </c>
      <c r="B16" s="618" t="str">
        <f>RESUMO!B27</f>
        <v xml:space="preserve">FRESAGEM E DEMOLIÇÃO DE CBUQ </v>
      </c>
      <c r="C16" s="619"/>
      <c r="D16" s="622">
        <f>E16/$E$40</f>
        <v>2.5347105614188872E-2</v>
      </c>
      <c r="E16" s="624">
        <f>RESUMO!C28</f>
        <v>472514.4</v>
      </c>
      <c r="F16" s="607">
        <f>$E$16*F18</f>
        <v>118128.6</v>
      </c>
      <c r="G16" s="608"/>
      <c r="H16" s="609"/>
      <c r="I16" s="607">
        <f>$E$16*I18</f>
        <v>118128.6</v>
      </c>
      <c r="J16" s="608"/>
      <c r="K16" s="609"/>
      <c r="L16" s="607">
        <f>$E$16*L18</f>
        <v>118128.6</v>
      </c>
      <c r="M16" s="608"/>
      <c r="N16" s="609"/>
      <c r="O16" s="607">
        <f>$E$16*O18</f>
        <v>118128.6</v>
      </c>
      <c r="P16" s="608"/>
      <c r="Q16" s="609"/>
      <c r="R16" s="607"/>
      <c r="S16" s="608"/>
      <c r="T16" s="609"/>
      <c r="U16" s="607"/>
      <c r="V16" s="608"/>
      <c r="W16" s="609"/>
      <c r="X16" s="607"/>
      <c r="Y16" s="608"/>
      <c r="Z16" s="609"/>
      <c r="AA16" s="607"/>
      <c r="AB16" s="608"/>
      <c r="AC16" s="609"/>
      <c r="AD16" s="607"/>
      <c r="AE16" s="608"/>
      <c r="AF16" s="609"/>
      <c r="AG16" s="607"/>
      <c r="AH16" s="608"/>
      <c r="AI16" s="609"/>
      <c r="AJ16" s="607"/>
      <c r="AK16" s="608"/>
      <c r="AL16" s="609"/>
      <c r="AM16" s="607"/>
      <c r="AN16" s="608"/>
      <c r="AO16" s="609"/>
      <c r="AP16" s="350">
        <f>SUM(F16:AO16)</f>
        <v>472514.4</v>
      </c>
    </row>
    <row r="17" spans="1:43">
      <c r="A17" s="617"/>
      <c r="B17" s="620"/>
      <c r="C17" s="621"/>
      <c r="D17" s="623"/>
      <c r="E17" s="625"/>
      <c r="F17" s="610"/>
      <c r="G17" s="611"/>
      <c r="H17" s="612"/>
      <c r="I17" s="335"/>
      <c r="J17" s="335"/>
      <c r="K17" s="336"/>
      <c r="L17" s="337"/>
      <c r="M17" s="335"/>
      <c r="N17" s="336"/>
      <c r="O17" s="335"/>
      <c r="P17" s="335"/>
      <c r="Q17" s="336"/>
      <c r="R17" s="339"/>
      <c r="S17" s="339"/>
      <c r="T17" s="339"/>
      <c r="U17" s="613"/>
      <c r="V17" s="614"/>
      <c r="W17" s="615"/>
      <c r="X17" s="613"/>
      <c r="Y17" s="614"/>
      <c r="Z17" s="615"/>
      <c r="AA17" s="613"/>
      <c r="AB17" s="614"/>
      <c r="AC17" s="615"/>
      <c r="AD17" s="613"/>
      <c r="AE17" s="614"/>
      <c r="AF17" s="615"/>
      <c r="AG17" s="613"/>
      <c r="AH17" s="614"/>
      <c r="AI17" s="615"/>
      <c r="AJ17" s="613"/>
      <c r="AK17" s="614"/>
      <c r="AL17" s="615"/>
      <c r="AM17" s="613"/>
      <c r="AN17" s="614"/>
      <c r="AO17" s="615"/>
    </row>
    <row r="18" spans="1:43">
      <c r="A18" s="617"/>
      <c r="B18" s="620"/>
      <c r="C18" s="621"/>
      <c r="D18" s="623"/>
      <c r="E18" s="626"/>
      <c r="F18" s="604">
        <v>0.25</v>
      </c>
      <c r="G18" s="605"/>
      <c r="H18" s="606"/>
      <c r="I18" s="604">
        <v>0.25</v>
      </c>
      <c r="J18" s="605"/>
      <c r="K18" s="606"/>
      <c r="L18" s="660">
        <v>0.25</v>
      </c>
      <c r="M18" s="661"/>
      <c r="N18" s="662"/>
      <c r="O18" s="660">
        <v>0.25</v>
      </c>
      <c r="P18" s="661"/>
      <c r="Q18" s="662"/>
      <c r="R18" s="660">
        <v>0.25</v>
      </c>
      <c r="S18" s="661"/>
      <c r="T18" s="662"/>
      <c r="U18" s="660">
        <v>0.25</v>
      </c>
      <c r="V18" s="661"/>
      <c r="W18" s="662"/>
      <c r="X18" s="604"/>
      <c r="Y18" s="605"/>
      <c r="Z18" s="606"/>
      <c r="AA18" s="604"/>
      <c r="AB18" s="605"/>
      <c r="AC18" s="606"/>
      <c r="AD18" s="604"/>
      <c r="AE18" s="605"/>
      <c r="AF18" s="606"/>
      <c r="AG18" s="604"/>
      <c r="AH18" s="605"/>
      <c r="AI18" s="606"/>
      <c r="AJ18" s="604"/>
      <c r="AK18" s="605"/>
      <c r="AL18" s="606"/>
      <c r="AM18" s="604"/>
      <c r="AN18" s="605"/>
      <c r="AO18" s="606"/>
      <c r="AP18" s="338">
        <f>SUM(F18:AO18)</f>
        <v>1.5</v>
      </c>
    </row>
    <row r="19" spans="1:43">
      <c r="A19" s="616" t="s">
        <v>503</v>
      </c>
      <c r="B19" s="618" t="str">
        <f>ORÇAMENTO!D47</f>
        <v>RECUPERAÇÃO DE BASE COM RACHÃO</v>
      </c>
      <c r="C19" s="619"/>
      <c r="D19" s="622">
        <f>E19/$E$40</f>
        <v>4.8265005248091047E-2</v>
      </c>
      <c r="E19" s="624">
        <f>ORÇAMENTO!K47</f>
        <v>899744.14999999991</v>
      </c>
      <c r="F19" s="607">
        <f>$E$19*F21</f>
        <v>224936.03749999998</v>
      </c>
      <c r="G19" s="608"/>
      <c r="H19" s="609"/>
      <c r="I19" s="607">
        <f>$E$19*I21</f>
        <v>224936.03749999998</v>
      </c>
      <c r="J19" s="608"/>
      <c r="K19" s="609"/>
      <c r="L19" s="607">
        <f>$E$19*L21</f>
        <v>134961.62249999997</v>
      </c>
      <c r="M19" s="608"/>
      <c r="N19" s="609"/>
      <c r="O19" s="607">
        <f>$E$19*O21</f>
        <v>134961.62249999997</v>
      </c>
      <c r="P19" s="608"/>
      <c r="Q19" s="609"/>
      <c r="R19" s="607">
        <f>$E$19*R21</f>
        <v>89974.414999999994</v>
      </c>
      <c r="S19" s="608"/>
      <c r="T19" s="609"/>
      <c r="U19" s="607">
        <f>$E$19*U21</f>
        <v>89974.414999999994</v>
      </c>
      <c r="V19" s="608"/>
      <c r="W19" s="609"/>
      <c r="X19" s="607"/>
      <c r="Y19" s="608"/>
      <c r="Z19" s="609"/>
      <c r="AA19" s="607"/>
      <c r="AB19" s="608"/>
      <c r="AC19" s="609"/>
      <c r="AD19" s="607"/>
      <c r="AE19" s="608"/>
      <c r="AF19" s="609"/>
      <c r="AG19" s="607"/>
      <c r="AH19" s="608"/>
      <c r="AI19" s="609"/>
      <c r="AJ19" s="607"/>
      <c r="AK19" s="608"/>
      <c r="AL19" s="609"/>
      <c r="AM19" s="607"/>
      <c r="AN19" s="608"/>
      <c r="AO19" s="609"/>
      <c r="AP19" s="338"/>
    </row>
    <row r="20" spans="1:43">
      <c r="A20" s="617"/>
      <c r="B20" s="620"/>
      <c r="C20" s="621"/>
      <c r="D20" s="623"/>
      <c r="E20" s="625"/>
      <c r="F20" s="610"/>
      <c r="G20" s="611"/>
      <c r="H20" s="612"/>
      <c r="I20" s="335"/>
      <c r="J20" s="335"/>
      <c r="K20" s="336"/>
      <c r="L20" s="337"/>
      <c r="M20" s="335"/>
      <c r="N20" s="336"/>
      <c r="O20" s="610"/>
      <c r="P20" s="611"/>
      <c r="Q20" s="612"/>
      <c r="R20" s="610"/>
      <c r="S20" s="611"/>
      <c r="T20" s="612"/>
      <c r="U20" s="610"/>
      <c r="V20" s="611"/>
      <c r="W20" s="612"/>
      <c r="X20" s="613"/>
      <c r="Y20" s="614"/>
      <c r="Z20" s="615"/>
      <c r="AA20" s="613"/>
      <c r="AB20" s="614"/>
      <c r="AC20" s="615"/>
      <c r="AD20" s="613"/>
      <c r="AE20" s="614"/>
      <c r="AF20" s="615"/>
      <c r="AG20" s="613"/>
      <c r="AH20" s="614"/>
      <c r="AI20" s="615"/>
      <c r="AJ20" s="613"/>
      <c r="AK20" s="614"/>
      <c r="AL20" s="615"/>
      <c r="AM20" s="613"/>
      <c r="AN20" s="614"/>
      <c r="AO20" s="615"/>
      <c r="AP20" s="338"/>
    </row>
    <row r="21" spans="1:43">
      <c r="A21" s="617"/>
      <c r="B21" s="620"/>
      <c r="C21" s="621"/>
      <c r="D21" s="623"/>
      <c r="E21" s="626"/>
      <c r="F21" s="604">
        <v>0.25</v>
      </c>
      <c r="G21" s="605"/>
      <c r="H21" s="606"/>
      <c r="I21" s="604">
        <v>0.25</v>
      </c>
      <c r="J21" s="605"/>
      <c r="K21" s="606"/>
      <c r="L21" s="604">
        <v>0.15</v>
      </c>
      <c r="M21" s="605"/>
      <c r="N21" s="606"/>
      <c r="O21" s="604">
        <v>0.15</v>
      </c>
      <c r="P21" s="605"/>
      <c r="Q21" s="606"/>
      <c r="R21" s="604">
        <v>0.1</v>
      </c>
      <c r="S21" s="605"/>
      <c r="T21" s="606"/>
      <c r="U21" s="604">
        <v>0.1</v>
      </c>
      <c r="V21" s="605"/>
      <c r="W21" s="606"/>
      <c r="X21" s="604"/>
      <c r="Y21" s="605"/>
      <c r="Z21" s="606"/>
      <c r="AA21" s="604"/>
      <c r="AB21" s="605"/>
      <c r="AC21" s="606"/>
      <c r="AD21" s="604"/>
      <c r="AE21" s="605"/>
      <c r="AF21" s="606"/>
      <c r="AG21" s="604"/>
      <c r="AH21" s="605"/>
      <c r="AI21" s="606"/>
      <c r="AJ21" s="604"/>
      <c r="AK21" s="605"/>
      <c r="AL21" s="606"/>
      <c r="AM21" s="604"/>
      <c r="AN21" s="605"/>
      <c r="AO21" s="606"/>
      <c r="AP21" s="338"/>
    </row>
    <row r="22" spans="1:43">
      <c r="A22" s="616" t="s">
        <v>504</v>
      </c>
      <c r="B22" s="656" t="str">
        <f>RESUMO!B33</f>
        <v>RECUPERAÇÃO DE BASE COM CASCALHO</v>
      </c>
      <c r="C22" s="657"/>
      <c r="D22" s="622">
        <f>E22/$E$40</f>
        <v>2.2542623166292308E-2</v>
      </c>
      <c r="E22" s="624">
        <f>RESUMO!C34</f>
        <v>420233.94</v>
      </c>
      <c r="F22" s="607">
        <f>$E$22*F24</f>
        <v>105058.485</v>
      </c>
      <c r="G22" s="608"/>
      <c r="H22" s="609"/>
      <c r="I22" s="607">
        <f>$E$22*I24</f>
        <v>105058.485</v>
      </c>
      <c r="J22" s="608"/>
      <c r="K22" s="609"/>
      <c r="L22" s="607">
        <f>$E$22*L24</f>
        <v>63035.091</v>
      </c>
      <c r="M22" s="608"/>
      <c r="N22" s="609"/>
      <c r="O22" s="607">
        <f>$E$22*O24</f>
        <v>63035.091</v>
      </c>
      <c r="P22" s="608"/>
      <c r="Q22" s="609"/>
      <c r="R22" s="607">
        <f>$E$22*R24</f>
        <v>42023.394</v>
      </c>
      <c r="S22" s="608"/>
      <c r="T22" s="609"/>
      <c r="U22" s="607">
        <f>$E$22*U24</f>
        <v>42023.394</v>
      </c>
      <c r="V22" s="608"/>
      <c r="W22" s="609"/>
      <c r="X22" s="607"/>
      <c r="Y22" s="608"/>
      <c r="Z22" s="609"/>
      <c r="AA22" s="607"/>
      <c r="AB22" s="608"/>
      <c r="AC22" s="609"/>
      <c r="AD22" s="607"/>
      <c r="AE22" s="608"/>
      <c r="AF22" s="609"/>
      <c r="AG22" s="607"/>
      <c r="AH22" s="608"/>
      <c r="AI22" s="609"/>
      <c r="AJ22" s="607"/>
      <c r="AK22" s="608"/>
      <c r="AL22" s="609"/>
      <c r="AM22" s="607"/>
      <c r="AN22" s="608"/>
      <c r="AO22" s="609"/>
      <c r="AP22" s="350">
        <f>SUM(F22:AO22)</f>
        <v>420233.93999999994</v>
      </c>
      <c r="AQ22" s="334">
        <f>AP22-E22</f>
        <v>0</v>
      </c>
    </row>
    <row r="23" spans="1:43">
      <c r="A23" s="617"/>
      <c r="B23" s="658"/>
      <c r="C23" s="659"/>
      <c r="D23" s="623"/>
      <c r="E23" s="625"/>
      <c r="F23" s="610"/>
      <c r="G23" s="611"/>
      <c r="H23" s="612"/>
      <c r="I23" s="335"/>
      <c r="J23" s="335"/>
      <c r="K23" s="336"/>
      <c r="L23" s="337"/>
      <c r="M23" s="335"/>
      <c r="N23" s="336"/>
      <c r="O23" s="335"/>
      <c r="P23" s="335"/>
      <c r="Q23" s="336"/>
      <c r="R23" s="337"/>
      <c r="S23" s="335"/>
      <c r="T23" s="336"/>
      <c r="U23" s="335"/>
      <c r="V23" s="335"/>
      <c r="W23" s="336"/>
      <c r="X23" s="340"/>
      <c r="Y23" s="339"/>
      <c r="Z23" s="341"/>
      <c r="AA23" s="340"/>
      <c r="AB23" s="339"/>
      <c r="AC23" s="341"/>
      <c r="AD23" s="340"/>
      <c r="AE23" s="339"/>
      <c r="AF23" s="341"/>
      <c r="AG23" s="340"/>
      <c r="AH23" s="339"/>
      <c r="AI23" s="341"/>
      <c r="AJ23" s="340"/>
      <c r="AK23" s="339"/>
      <c r="AL23" s="341"/>
      <c r="AM23" s="340"/>
      <c r="AN23" s="339"/>
      <c r="AO23" s="341"/>
    </row>
    <row r="24" spans="1:43">
      <c r="A24" s="617"/>
      <c r="B24" s="658"/>
      <c r="C24" s="659"/>
      <c r="D24" s="623"/>
      <c r="E24" s="626"/>
      <c r="F24" s="604">
        <v>0.25</v>
      </c>
      <c r="G24" s="605"/>
      <c r="H24" s="606"/>
      <c r="I24" s="604">
        <v>0.25</v>
      </c>
      <c r="J24" s="605"/>
      <c r="K24" s="606"/>
      <c r="L24" s="604">
        <v>0.15</v>
      </c>
      <c r="M24" s="605"/>
      <c r="N24" s="606"/>
      <c r="O24" s="604">
        <v>0.15</v>
      </c>
      <c r="P24" s="605"/>
      <c r="Q24" s="606"/>
      <c r="R24" s="604">
        <v>0.1</v>
      </c>
      <c r="S24" s="605"/>
      <c r="T24" s="606"/>
      <c r="U24" s="604">
        <v>0.1</v>
      </c>
      <c r="V24" s="605"/>
      <c r="W24" s="606"/>
      <c r="X24" s="639"/>
      <c r="Y24" s="640"/>
      <c r="Z24" s="641"/>
      <c r="AA24" s="639"/>
      <c r="AB24" s="640"/>
      <c r="AC24" s="641"/>
      <c r="AD24" s="639"/>
      <c r="AE24" s="640"/>
      <c r="AF24" s="641"/>
      <c r="AG24" s="639"/>
      <c r="AH24" s="640"/>
      <c r="AI24" s="641"/>
      <c r="AJ24" s="639"/>
      <c r="AK24" s="640"/>
      <c r="AL24" s="641"/>
      <c r="AM24" s="639"/>
      <c r="AN24" s="640"/>
      <c r="AO24" s="641"/>
      <c r="AP24" s="338">
        <f>SUM(F24:AO24)</f>
        <v>1</v>
      </c>
    </row>
    <row r="25" spans="1:43" ht="15" customHeight="1">
      <c r="A25" s="616" t="s">
        <v>505</v>
      </c>
      <c r="B25" s="618" t="str">
        <f>RESUMO!B36</f>
        <v>SERVIÇOS COMPLEMENTARES</v>
      </c>
      <c r="C25" s="619"/>
      <c r="D25" s="622">
        <f>E25/$E$40</f>
        <v>0.1070368187369124</v>
      </c>
      <c r="E25" s="624">
        <f>RESUMO!C37</f>
        <v>1995353.5899999999</v>
      </c>
      <c r="F25" s="630">
        <f t="shared" ref="F25" si="33">$E$25*F27</f>
        <v>199535.359</v>
      </c>
      <c r="G25" s="631"/>
      <c r="H25" s="632"/>
      <c r="I25" s="630">
        <f t="shared" ref="I25" si="34">$E$25*I27</f>
        <v>199535.359</v>
      </c>
      <c r="J25" s="631"/>
      <c r="K25" s="632"/>
      <c r="L25" s="630">
        <f t="shared" ref="L25" si="35">$E$25*L27</f>
        <v>199535.359</v>
      </c>
      <c r="M25" s="631"/>
      <c r="N25" s="632"/>
      <c r="O25" s="630">
        <f t="shared" ref="O25" si="36">$E$25*O27</f>
        <v>199535.359</v>
      </c>
      <c r="P25" s="631"/>
      <c r="Q25" s="632"/>
      <c r="R25" s="630">
        <f t="shared" ref="R25" si="37">$E$25*R27</f>
        <v>199535.359</v>
      </c>
      <c r="S25" s="631"/>
      <c r="T25" s="632"/>
      <c r="U25" s="630">
        <f t="shared" ref="U25" si="38">$E$25*U27</f>
        <v>199535.359</v>
      </c>
      <c r="V25" s="631"/>
      <c r="W25" s="632"/>
      <c r="X25" s="630">
        <f t="shared" ref="X25" si="39">$E$25*X27</f>
        <v>199535.359</v>
      </c>
      <c r="Y25" s="631"/>
      <c r="Z25" s="632"/>
      <c r="AA25" s="630">
        <f t="shared" ref="AA25" si="40">$E$25*AA27</f>
        <v>199535.359</v>
      </c>
      <c r="AB25" s="631"/>
      <c r="AC25" s="632"/>
      <c r="AD25" s="630">
        <f t="shared" ref="AD25" si="41">$E$25*AD27</f>
        <v>199535.359</v>
      </c>
      <c r="AE25" s="631"/>
      <c r="AF25" s="632"/>
      <c r="AG25" s="630">
        <f t="shared" ref="AG25" si="42">$E$25*AG27</f>
        <v>199535.359</v>
      </c>
      <c r="AH25" s="631"/>
      <c r="AI25" s="632"/>
      <c r="AJ25" s="630">
        <f t="shared" ref="AJ25" si="43">$E$25*AJ27</f>
        <v>0</v>
      </c>
      <c r="AK25" s="631"/>
      <c r="AL25" s="632"/>
      <c r="AM25" s="630">
        <f t="shared" ref="AM25" si="44">$E$25*AM27</f>
        <v>0</v>
      </c>
      <c r="AN25" s="631"/>
      <c r="AO25" s="632"/>
      <c r="AP25" s="350">
        <f>SUM(F25:AO25)</f>
        <v>1995353.5899999996</v>
      </c>
      <c r="AQ25" s="334">
        <f>AP25-E25</f>
        <v>0</v>
      </c>
    </row>
    <row r="26" spans="1:43">
      <c r="A26" s="617"/>
      <c r="B26" s="620"/>
      <c r="C26" s="621"/>
      <c r="D26" s="623"/>
      <c r="E26" s="62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5"/>
      <c r="AL26" s="335"/>
      <c r="AM26" s="335"/>
      <c r="AN26" s="335"/>
      <c r="AO26" s="335"/>
    </row>
    <row r="27" spans="1:43">
      <c r="A27" s="617"/>
      <c r="B27" s="620"/>
      <c r="C27" s="621"/>
      <c r="D27" s="623"/>
      <c r="E27" s="626"/>
      <c r="F27" s="627">
        <v>0.1</v>
      </c>
      <c r="G27" s="628"/>
      <c r="H27" s="629"/>
      <c r="I27" s="627">
        <v>0.1</v>
      </c>
      <c r="J27" s="628"/>
      <c r="K27" s="629"/>
      <c r="L27" s="627">
        <v>0.1</v>
      </c>
      <c r="M27" s="628"/>
      <c r="N27" s="629"/>
      <c r="O27" s="627">
        <v>0.1</v>
      </c>
      <c r="P27" s="628"/>
      <c r="Q27" s="629"/>
      <c r="R27" s="627">
        <v>0.1</v>
      </c>
      <c r="S27" s="628"/>
      <c r="T27" s="629"/>
      <c r="U27" s="627">
        <v>0.1</v>
      </c>
      <c r="V27" s="628"/>
      <c r="W27" s="629"/>
      <c r="X27" s="627">
        <v>0.1</v>
      </c>
      <c r="Y27" s="628"/>
      <c r="Z27" s="629"/>
      <c r="AA27" s="627">
        <v>0.1</v>
      </c>
      <c r="AB27" s="628"/>
      <c r="AC27" s="629"/>
      <c r="AD27" s="627">
        <v>0.1</v>
      </c>
      <c r="AE27" s="628"/>
      <c r="AF27" s="629"/>
      <c r="AG27" s="627">
        <v>0.1</v>
      </c>
      <c r="AH27" s="628"/>
      <c r="AI27" s="629"/>
      <c r="AJ27" s="627">
        <v>0</v>
      </c>
      <c r="AK27" s="628"/>
      <c r="AL27" s="629"/>
      <c r="AM27" s="627">
        <v>0</v>
      </c>
      <c r="AN27" s="628"/>
      <c r="AO27" s="629"/>
      <c r="AP27" s="338">
        <f>SUM(F27:AO27)</f>
        <v>0.99999999999999989</v>
      </c>
    </row>
    <row r="28" spans="1:43">
      <c r="A28" s="616" t="s">
        <v>506</v>
      </c>
      <c r="B28" s="618" t="str">
        <f>RESUMO!B39</f>
        <v>RECUPERAÇÃO DE DRENAGEM</v>
      </c>
      <c r="C28" s="619"/>
      <c r="D28" s="622">
        <f>E28/$E$40</f>
        <v>4.9688279368899767E-2</v>
      </c>
      <c r="E28" s="624">
        <f>RESUMO!C40</f>
        <v>926276.47000000009</v>
      </c>
      <c r="F28" s="630">
        <f>$E$28*F30</f>
        <v>185255.29400000002</v>
      </c>
      <c r="G28" s="631"/>
      <c r="H28" s="632"/>
      <c r="I28" s="630">
        <f>$E$28*I30</f>
        <v>185255.29400000002</v>
      </c>
      <c r="J28" s="631"/>
      <c r="K28" s="632"/>
      <c r="L28" s="630">
        <f>$E$28*L30</f>
        <v>185255.29400000002</v>
      </c>
      <c r="M28" s="631"/>
      <c r="N28" s="632"/>
      <c r="O28" s="630">
        <f>$E$28*O30</f>
        <v>185255.29400000002</v>
      </c>
      <c r="P28" s="631"/>
      <c r="Q28" s="632"/>
      <c r="R28" s="630">
        <f>$E$28*R30</f>
        <v>185255.29400000002</v>
      </c>
      <c r="S28" s="631"/>
      <c r="T28" s="632"/>
      <c r="U28" s="630"/>
      <c r="V28" s="631"/>
      <c r="W28" s="632"/>
      <c r="X28" s="630"/>
      <c r="Y28" s="631"/>
      <c r="Z28" s="632"/>
      <c r="AA28" s="630"/>
      <c r="AB28" s="631"/>
      <c r="AC28" s="632"/>
      <c r="AD28" s="630"/>
      <c r="AE28" s="631"/>
      <c r="AF28" s="632"/>
      <c r="AG28" s="630"/>
      <c r="AH28" s="631"/>
      <c r="AI28" s="632"/>
      <c r="AJ28" s="630"/>
      <c r="AK28" s="631"/>
      <c r="AL28" s="632"/>
      <c r="AM28" s="630"/>
      <c r="AN28" s="631"/>
      <c r="AO28" s="632"/>
      <c r="AP28" s="350">
        <f>SUM(F28:AO28)</f>
        <v>926276.47000000009</v>
      </c>
      <c r="AQ28" s="334">
        <f>AP28-E28</f>
        <v>0</v>
      </c>
    </row>
    <row r="29" spans="1:43">
      <c r="A29" s="617"/>
      <c r="B29" s="620"/>
      <c r="C29" s="621"/>
      <c r="D29" s="623"/>
      <c r="E29" s="625"/>
      <c r="F29" s="335"/>
      <c r="G29" s="335"/>
      <c r="H29" s="336"/>
      <c r="I29" s="335"/>
      <c r="J29" s="335"/>
      <c r="K29" s="336"/>
      <c r="L29" s="335"/>
      <c r="M29" s="335"/>
      <c r="N29" s="336"/>
      <c r="O29" s="335"/>
      <c r="P29" s="335"/>
      <c r="Q29" s="336"/>
      <c r="R29" s="335"/>
      <c r="S29" s="335"/>
      <c r="T29" s="336"/>
      <c r="U29" s="607"/>
      <c r="V29" s="608"/>
      <c r="W29" s="609"/>
      <c r="X29" s="607"/>
      <c r="Y29" s="608"/>
      <c r="Z29" s="609"/>
      <c r="AA29" s="607"/>
      <c r="AB29" s="608"/>
      <c r="AC29" s="609"/>
      <c r="AD29" s="607"/>
      <c r="AE29" s="608"/>
      <c r="AF29" s="609"/>
      <c r="AG29" s="607"/>
      <c r="AH29" s="608"/>
      <c r="AI29" s="609"/>
      <c r="AJ29" s="607"/>
      <c r="AK29" s="608"/>
      <c r="AL29" s="609"/>
      <c r="AM29" s="607"/>
      <c r="AN29" s="608"/>
      <c r="AO29" s="609"/>
    </row>
    <row r="30" spans="1:43">
      <c r="A30" s="617"/>
      <c r="B30" s="620"/>
      <c r="C30" s="621"/>
      <c r="D30" s="623"/>
      <c r="E30" s="626"/>
      <c r="F30" s="627">
        <v>0.2</v>
      </c>
      <c r="G30" s="628"/>
      <c r="H30" s="629"/>
      <c r="I30" s="627">
        <v>0.2</v>
      </c>
      <c r="J30" s="628"/>
      <c r="K30" s="629"/>
      <c r="L30" s="627">
        <v>0.2</v>
      </c>
      <c r="M30" s="628"/>
      <c r="N30" s="629"/>
      <c r="O30" s="627">
        <v>0.2</v>
      </c>
      <c r="P30" s="628"/>
      <c r="Q30" s="629"/>
      <c r="R30" s="627">
        <v>0.2</v>
      </c>
      <c r="S30" s="628"/>
      <c r="T30" s="629"/>
      <c r="U30" s="627"/>
      <c r="V30" s="628"/>
      <c r="W30" s="629"/>
      <c r="X30" s="627"/>
      <c r="Y30" s="628"/>
      <c r="Z30" s="629"/>
      <c r="AA30" s="627"/>
      <c r="AB30" s="628"/>
      <c r="AC30" s="629"/>
      <c r="AD30" s="627"/>
      <c r="AE30" s="628"/>
      <c r="AF30" s="629"/>
      <c r="AG30" s="627"/>
      <c r="AH30" s="628"/>
      <c r="AI30" s="629"/>
      <c r="AJ30" s="627"/>
      <c r="AK30" s="628"/>
      <c r="AL30" s="629"/>
      <c r="AM30" s="627"/>
      <c r="AN30" s="628"/>
      <c r="AO30" s="629"/>
      <c r="AP30" s="338">
        <f>SUM(F30:AO30)</f>
        <v>1</v>
      </c>
    </row>
    <row r="31" spans="1:43">
      <c r="A31" s="616" t="s">
        <v>507</v>
      </c>
      <c r="B31" s="618" t="str">
        <f>RESUMO!B42</f>
        <v xml:space="preserve">SINALIZAÇÃO </v>
      </c>
      <c r="C31" s="619"/>
      <c r="D31" s="622">
        <f>E31/$E$40</f>
        <v>3.4645031089613771E-3</v>
      </c>
      <c r="E31" s="624">
        <f>RESUMO!C43</f>
        <v>64584.399999999994</v>
      </c>
      <c r="F31" s="653"/>
      <c r="G31" s="654"/>
      <c r="H31" s="655"/>
      <c r="I31" s="630">
        <f>$E$31*I33</f>
        <v>19375.319999999996</v>
      </c>
      <c r="J31" s="631"/>
      <c r="K31" s="632"/>
      <c r="L31" s="630">
        <f>$E$31*L33</f>
        <v>9687.659999999998</v>
      </c>
      <c r="M31" s="631"/>
      <c r="N31" s="632"/>
      <c r="O31" s="630">
        <f>$E$31*O33</f>
        <v>12916.88</v>
      </c>
      <c r="P31" s="631"/>
      <c r="Q31" s="632"/>
      <c r="R31" s="630">
        <f>$E$31*R33</f>
        <v>12916.88</v>
      </c>
      <c r="S31" s="631"/>
      <c r="T31" s="632"/>
      <c r="U31" s="630">
        <f>$E$31*U33</f>
        <v>9687.659999999998</v>
      </c>
      <c r="V31" s="631"/>
      <c r="W31" s="632"/>
      <c r="X31" s="630"/>
      <c r="Y31" s="631"/>
      <c r="Z31" s="632"/>
      <c r="AA31" s="630"/>
      <c r="AB31" s="631"/>
      <c r="AC31" s="632"/>
      <c r="AD31" s="630"/>
      <c r="AE31" s="631"/>
      <c r="AF31" s="632"/>
      <c r="AG31" s="630"/>
      <c r="AH31" s="631"/>
      <c r="AI31" s="632"/>
      <c r="AJ31" s="630"/>
      <c r="AK31" s="631"/>
      <c r="AL31" s="632"/>
      <c r="AM31" s="630"/>
      <c r="AN31" s="631"/>
      <c r="AO31" s="632"/>
      <c r="AP31" s="350">
        <f>SUM(F31:AO31)</f>
        <v>64584.399999999987</v>
      </c>
      <c r="AQ31" s="334">
        <f>AP31-E31</f>
        <v>0</v>
      </c>
    </row>
    <row r="32" spans="1:43">
      <c r="A32" s="617"/>
      <c r="B32" s="620"/>
      <c r="C32" s="621"/>
      <c r="D32" s="623"/>
      <c r="E32" s="625"/>
      <c r="F32" s="342"/>
      <c r="G32" s="343"/>
      <c r="H32" s="343"/>
      <c r="I32" s="337"/>
      <c r="J32" s="335"/>
      <c r="K32" s="336"/>
      <c r="L32" s="337"/>
      <c r="M32" s="335"/>
      <c r="N32" s="336"/>
      <c r="O32" s="335"/>
      <c r="P32" s="335"/>
      <c r="Q32" s="336"/>
      <c r="R32" s="335"/>
      <c r="S32" s="335"/>
      <c r="T32" s="335"/>
      <c r="U32" s="337"/>
      <c r="V32" s="335"/>
      <c r="W32" s="336"/>
      <c r="X32" s="627"/>
      <c r="Y32" s="628"/>
      <c r="Z32" s="629"/>
      <c r="AA32" s="627"/>
      <c r="AB32" s="628"/>
      <c r="AC32" s="629"/>
      <c r="AD32" s="627"/>
      <c r="AE32" s="628"/>
      <c r="AF32" s="629"/>
      <c r="AG32" s="627"/>
      <c r="AH32" s="628"/>
      <c r="AI32" s="629"/>
      <c r="AJ32" s="627"/>
      <c r="AK32" s="628"/>
      <c r="AL32" s="629"/>
      <c r="AM32" s="627"/>
      <c r="AN32" s="628"/>
      <c r="AO32" s="629"/>
    </row>
    <row r="33" spans="1:43">
      <c r="A33" s="617"/>
      <c r="B33" s="620"/>
      <c r="C33" s="621"/>
      <c r="D33" s="623"/>
      <c r="E33" s="626"/>
      <c r="F33" s="653"/>
      <c r="G33" s="654"/>
      <c r="H33" s="655"/>
      <c r="I33" s="627">
        <v>0.3</v>
      </c>
      <c r="J33" s="628"/>
      <c r="K33" s="629"/>
      <c r="L33" s="627">
        <v>0.15</v>
      </c>
      <c r="M33" s="628"/>
      <c r="N33" s="629"/>
      <c r="O33" s="627">
        <v>0.2</v>
      </c>
      <c r="P33" s="628"/>
      <c r="Q33" s="629"/>
      <c r="R33" s="627">
        <v>0.2</v>
      </c>
      <c r="S33" s="628"/>
      <c r="T33" s="629"/>
      <c r="U33" s="639">
        <v>0.15</v>
      </c>
      <c r="V33" s="640"/>
      <c r="W33" s="641"/>
      <c r="X33" s="639"/>
      <c r="Y33" s="640"/>
      <c r="Z33" s="641"/>
      <c r="AA33" s="639"/>
      <c r="AB33" s="640"/>
      <c r="AC33" s="641"/>
      <c r="AD33" s="639"/>
      <c r="AE33" s="640"/>
      <c r="AF33" s="641"/>
      <c r="AG33" s="639"/>
      <c r="AH33" s="640"/>
      <c r="AI33" s="641"/>
      <c r="AJ33" s="639"/>
      <c r="AK33" s="640"/>
      <c r="AL33" s="641"/>
      <c r="AM33" s="639"/>
      <c r="AN33" s="640"/>
      <c r="AO33" s="641"/>
      <c r="AP33" s="338">
        <f>SUM(F33:AO33)</f>
        <v>0.99999999999999989</v>
      </c>
    </row>
    <row r="34" spans="1:43" ht="12.75" customHeight="1">
      <c r="A34" s="616" t="s">
        <v>508</v>
      </c>
      <c r="B34" s="618" t="str">
        <f>RESUMO!B45</f>
        <v>CANTEIRO DE OBRAS</v>
      </c>
      <c r="C34" s="619"/>
      <c r="D34" s="622">
        <f>E34/$E$40</f>
        <v>2.7837258126567625E-3</v>
      </c>
      <c r="E34" s="624">
        <f>RESUMO!C46</f>
        <v>51893.520000000004</v>
      </c>
      <c r="F34" s="630">
        <f>$E$34*F36</f>
        <v>4324.46</v>
      </c>
      <c r="G34" s="631"/>
      <c r="H34" s="632"/>
      <c r="I34" s="630">
        <f>$E$34*I36</f>
        <v>4324.46</v>
      </c>
      <c r="J34" s="631"/>
      <c r="K34" s="632"/>
      <c r="L34" s="630">
        <f>$E$34*L36</f>
        <v>4324.46</v>
      </c>
      <c r="M34" s="631"/>
      <c r="N34" s="632"/>
      <c r="O34" s="630">
        <f>$E$34*O36</f>
        <v>4324.46</v>
      </c>
      <c r="P34" s="631"/>
      <c r="Q34" s="632"/>
      <c r="R34" s="630">
        <f>$E$34*R36</f>
        <v>4324.46</v>
      </c>
      <c r="S34" s="631"/>
      <c r="T34" s="632"/>
      <c r="U34" s="630">
        <f>$E$34*U36</f>
        <v>4324.46</v>
      </c>
      <c r="V34" s="631"/>
      <c r="W34" s="632"/>
      <c r="X34" s="630">
        <f t="shared" ref="X34" si="45">$E$34*X36</f>
        <v>4324.46</v>
      </c>
      <c r="Y34" s="631"/>
      <c r="Z34" s="632"/>
      <c r="AA34" s="630">
        <f t="shared" ref="AA34" si="46">$E$34*AA36</f>
        <v>4324.46</v>
      </c>
      <c r="AB34" s="631"/>
      <c r="AC34" s="632"/>
      <c r="AD34" s="630">
        <f t="shared" ref="AD34" si="47">$E$34*AD36</f>
        <v>4324.46</v>
      </c>
      <c r="AE34" s="631"/>
      <c r="AF34" s="632"/>
      <c r="AG34" s="630">
        <f t="shared" ref="AG34" si="48">$E$34*AG36</f>
        <v>4324.46</v>
      </c>
      <c r="AH34" s="631"/>
      <c r="AI34" s="632"/>
      <c r="AJ34" s="630">
        <f t="shared" ref="AJ34" si="49">$E$34*AJ36</f>
        <v>4324.46</v>
      </c>
      <c r="AK34" s="631"/>
      <c r="AL34" s="632"/>
      <c r="AM34" s="630">
        <f t="shared" ref="AM34" si="50">$E$34*AM36</f>
        <v>4324.46</v>
      </c>
      <c r="AN34" s="631"/>
      <c r="AO34" s="632"/>
      <c r="AP34" s="350">
        <f>SUM(F34:AO34)</f>
        <v>51893.52</v>
      </c>
      <c r="AQ34" s="334">
        <f>AP34-E34</f>
        <v>0</v>
      </c>
    </row>
    <row r="35" spans="1:43">
      <c r="A35" s="617"/>
      <c r="B35" s="620"/>
      <c r="C35" s="621"/>
      <c r="D35" s="623"/>
      <c r="E35" s="625"/>
      <c r="F35" s="337"/>
      <c r="G35" s="335"/>
      <c r="H35" s="336"/>
      <c r="I35" s="337"/>
      <c r="J35" s="335"/>
      <c r="K35" s="336"/>
      <c r="L35" s="337"/>
      <c r="M35" s="335"/>
      <c r="N35" s="336"/>
      <c r="O35" s="337"/>
      <c r="P35" s="335"/>
      <c r="Q35" s="336"/>
      <c r="R35" s="337"/>
      <c r="S35" s="335"/>
      <c r="T35" s="336"/>
      <c r="U35" s="337"/>
      <c r="V35" s="335"/>
      <c r="W35" s="336"/>
      <c r="X35" s="337"/>
      <c r="Y35" s="335"/>
      <c r="Z35" s="336"/>
      <c r="AA35" s="337"/>
      <c r="AB35" s="335"/>
      <c r="AC35" s="336"/>
      <c r="AD35" s="337"/>
      <c r="AE35" s="335"/>
      <c r="AF35" s="336"/>
      <c r="AG35" s="337"/>
      <c r="AH35" s="335"/>
      <c r="AI35" s="336"/>
      <c r="AJ35" s="337"/>
      <c r="AK35" s="335"/>
      <c r="AL35" s="336"/>
      <c r="AM35" s="337"/>
      <c r="AN35" s="335"/>
      <c r="AO35" s="336"/>
    </row>
    <row r="36" spans="1:43">
      <c r="A36" s="617"/>
      <c r="B36" s="620"/>
      <c r="C36" s="621"/>
      <c r="D36" s="623"/>
      <c r="E36" s="626"/>
      <c r="F36" s="633">
        <f>1/12</f>
        <v>8.3333333333333329E-2</v>
      </c>
      <c r="G36" s="634"/>
      <c r="H36" s="635"/>
      <c r="I36" s="633">
        <f t="shared" ref="I36" si="51">1/12</f>
        <v>8.3333333333333329E-2</v>
      </c>
      <c r="J36" s="634"/>
      <c r="K36" s="635"/>
      <c r="L36" s="633">
        <f t="shared" ref="L36" si="52">1/12</f>
        <v>8.3333333333333329E-2</v>
      </c>
      <c r="M36" s="634"/>
      <c r="N36" s="635"/>
      <c r="O36" s="633">
        <f t="shared" ref="O36" si="53">1/12</f>
        <v>8.3333333333333329E-2</v>
      </c>
      <c r="P36" s="634"/>
      <c r="Q36" s="635"/>
      <c r="R36" s="633">
        <f t="shared" ref="R36" si="54">1/12</f>
        <v>8.3333333333333329E-2</v>
      </c>
      <c r="S36" s="634"/>
      <c r="T36" s="635"/>
      <c r="U36" s="633">
        <f t="shared" ref="U36" si="55">1/12</f>
        <v>8.3333333333333329E-2</v>
      </c>
      <c r="V36" s="634"/>
      <c r="W36" s="635"/>
      <c r="X36" s="633">
        <f t="shared" ref="X36" si="56">1/12</f>
        <v>8.3333333333333329E-2</v>
      </c>
      <c r="Y36" s="634"/>
      <c r="Z36" s="635"/>
      <c r="AA36" s="633">
        <f t="shared" ref="AA36" si="57">1/12</f>
        <v>8.3333333333333329E-2</v>
      </c>
      <c r="AB36" s="634"/>
      <c r="AC36" s="635"/>
      <c r="AD36" s="633">
        <f t="shared" ref="AD36" si="58">1/12</f>
        <v>8.3333333333333329E-2</v>
      </c>
      <c r="AE36" s="634"/>
      <c r="AF36" s="635"/>
      <c r="AG36" s="633">
        <f t="shared" ref="AG36" si="59">1/12</f>
        <v>8.3333333333333329E-2</v>
      </c>
      <c r="AH36" s="634"/>
      <c r="AI36" s="635"/>
      <c r="AJ36" s="633">
        <f t="shared" ref="AJ36" si="60">1/12</f>
        <v>8.3333333333333329E-2</v>
      </c>
      <c r="AK36" s="634"/>
      <c r="AL36" s="635"/>
      <c r="AM36" s="633">
        <f t="shared" ref="AM36" si="61">1/12</f>
        <v>8.3333333333333329E-2</v>
      </c>
      <c r="AN36" s="634"/>
      <c r="AO36" s="635"/>
      <c r="AP36" s="338">
        <f>SUM(F36:AO36)</f>
        <v>1</v>
      </c>
    </row>
    <row r="37" spans="1:43" ht="12.75" customHeight="1">
      <c r="A37" s="616" t="s">
        <v>511</v>
      </c>
      <c r="B37" s="618" t="str">
        <f>RESUMO!B48</f>
        <v xml:space="preserve">ADMINISTRAÇÃO LOCAL </v>
      </c>
      <c r="C37" s="619"/>
      <c r="D37" s="622">
        <f>E37/$E$40</f>
        <v>3.7779264772192719E-2</v>
      </c>
      <c r="E37" s="624">
        <f>RESUMO!C49</f>
        <v>704271.6</v>
      </c>
      <c r="F37" s="630">
        <f>$E$37*F39</f>
        <v>58689.299999999996</v>
      </c>
      <c r="G37" s="631"/>
      <c r="H37" s="632"/>
      <c r="I37" s="630">
        <f>$E$37*I39</f>
        <v>58689.299999999996</v>
      </c>
      <c r="J37" s="631"/>
      <c r="K37" s="632"/>
      <c r="L37" s="630">
        <f>$E$37*L39</f>
        <v>58689.299999999996</v>
      </c>
      <c r="M37" s="631"/>
      <c r="N37" s="632"/>
      <c r="O37" s="630">
        <f>$E$37*O39</f>
        <v>58689.299999999996</v>
      </c>
      <c r="P37" s="631"/>
      <c r="Q37" s="632"/>
      <c r="R37" s="630">
        <f t="shared" ref="R37" si="62">$E$37*R39</f>
        <v>58689.299999999996</v>
      </c>
      <c r="S37" s="631"/>
      <c r="T37" s="632"/>
      <c r="U37" s="630">
        <f t="shared" ref="U37" si="63">$E$37*U39</f>
        <v>58689.299999999996</v>
      </c>
      <c r="V37" s="631"/>
      <c r="W37" s="632"/>
      <c r="X37" s="630">
        <f t="shared" ref="X37" si="64">$E$37*X39</f>
        <v>58689.299999999996</v>
      </c>
      <c r="Y37" s="631"/>
      <c r="Z37" s="632"/>
      <c r="AA37" s="630">
        <f t="shared" ref="AA37" si="65">$E$37*AA39</f>
        <v>58689.299999999996</v>
      </c>
      <c r="AB37" s="631"/>
      <c r="AC37" s="632"/>
      <c r="AD37" s="630">
        <f t="shared" ref="AD37" si="66">$E$37*AD39</f>
        <v>58689.299999999996</v>
      </c>
      <c r="AE37" s="631"/>
      <c r="AF37" s="632"/>
      <c r="AG37" s="630">
        <f t="shared" ref="AG37" si="67">$E$37*AG39</f>
        <v>58689.299999999996</v>
      </c>
      <c r="AH37" s="631"/>
      <c r="AI37" s="632"/>
      <c r="AJ37" s="630">
        <f t="shared" ref="AJ37" si="68">$E$37*AJ39</f>
        <v>58689.299999999996</v>
      </c>
      <c r="AK37" s="631"/>
      <c r="AL37" s="632"/>
      <c r="AM37" s="630">
        <f t="shared" ref="AM37" si="69">$E$37*AM39</f>
        <v>58689.299999999996</v>
      </c>
      <c r="AN37" s="631"/>
      <c r="AO37" s="632"/>
      <c r="AP37" s="350">
        <f>SUM(F37:AO37)</f>
        <v>704271.60000000009</v>
      </c>
      <c r="AQ37" s="334">
        <f>AP37-E37</f>
        <v>0</v>
      </c>
    </row>
    <row r="38" spans="1:43">
      <c r="A38" s="617"/>
      <c r="B38" s="620"/>
      <c r="C38" s="621"/>
      <c r="D38" s="623"/>
      <c r="E38" s="625"/>
      <c r="F38" s="337"/>
      <c r="G38" s="335"/>
      <c r="H38" s="336"/>
      <c r="I38" s="337"/>
      <c r="J38" s="335"/>
      <c r="K38" s="336"/>
      <c r="L38" s="337"/>
      <c r="M38" s="335"/>
      <c r="N38" s="336"/>
      <c r="O38" s="335"/>
      <c r="P38" s="335"/>
      <c r="Q38" s="336"/>
      <c r="R38" s="337"/>
      <c r="S38" s="335"/>
      <c r="T38" s="336"/>
      <c r="U38" s="337"/>
      <c r="V38" s="335"/>
      <c r="W38" s="336"/>
      <c r="X38" s="337"/>
      <c r="Y38" s="335"/>
      <c r="Z38" s="336"/>
      <c r="AA38" s="337"/>
      <c r="AB38" s="335"/>
      <c r="AC38" s="336"/>
      <c r="AD38" s="337"/>
      <c r="AE38" s="335"/>
      <c r="AF38" s="336"/>
      <c r="AG38" s="337"/>
      <c r="AH38" s="335"/>
      <c r="AI38" s="336"/>
      <c r="AJ38" s="337"/>
      <c r="AK38" s="335"/>
      <c r="AL38" s="336"/>
      <c r="AM38" s="337"/>
      <c r="AN38" s="335"/>
      <c r="AO38" s="336"/>
    </row>
    <row r="39" spans="1:43">
      <c r="A39" s="617"/>
      <c r="B39" s="620"/>
      <c r="C39" s="621"/>
      <c r="D39" s="623"/>
      <c r="E39" s="626"/>
      <c r="F39" s="633">
        <f>1/12</f>
        <v>8.3333333333333329E-2</v>
      </c>
      <c r="G39" s="634"/>
      <c r="H39" s="635"/>
      <c r="I39" s="633">
        <f t="shared" ref="I39" si="70">1/12</f>
        <v>8.3333333333333329E-2</v>
      </c>
      <c r="J39" s="634"/>
      <c r="K39" s="635"/>
      <c r="L39" s="633">
        <f t="shared" ref="L39" si="71">1/12</f>
        <v>8.3333333333333329E-2</v>
      </c>
      <c r="M39" s="634"/>
      <c r="N39" s="635"/>
      <c r="O39" s="633">
        <f t="shared" ref="O39" si="72">1/12</f>
        <v>8.3333333333333329E-2</v>
      </c>
      <c r="P39" s="634"/>
      <c r="Q39" s="635"/>
      <c r="R39" s="633">
        <f t="shared" ref="R39" si="73">1/12</f>
        <v>8.3333333333333329E-2</v>
      </c>
      <c r="S39" s="634"/>
      <c r="T39" s="635"/>
      <c r="U39" s="633">
        <f t="shared" ref="U39" si="74">1/12</f>
        <v>8.3333333333333329E-2</v>
      </c>
      <c r="V39" s="634"/>
      <c r="W39" s="635"/>
      <c r="X39" s="633">
        <f t="shared" ref="X39" si="75">1/12</f>
        <v>8.3333333333333329E-2</v>
      </c>
      <c r="Y39" s="634"/>
      <c r="Z39" s="635"/>
      <c r="AA39" s="633">
        <f t="shared" ref="AA39" si="76">1/12</f>
        <v>8.3333333333333329E-2</v>
      </c>
      <c r="AB39" s="634"/>
      <c r="AC39" s="635"/>
      <c r="AD39" s="633">
        <f t="shared" ref="AD39" si="77">1/12</f>
        <v>8.3333333333333329E-2</v>
      </c>
      <c r="AE39" s="634"/>
      <c r="AF39" s="635"/>
      <c r="AG39" s="633">
        <f t="shared" ref="AG39" si="78">1/12</f>
        <v>8.3333333333333329E-2</v>
      </c>
      <c r="AH39" s="634"/>
      <c r="AI39" s="635"/>
      <c r="AJ39" s="633">
        <f t="shared" ref="AJ39" si="79">1/12</f>
        <v>8.3333333333333329E-2</v>
      </c>
      <c r="AK39" s="634"/>
      <c r="AL39" s="635"/>
      <c r="AM39" s="633">
        <f t="shared" ref="AM39" si="80">1/12</f>
        <v>8.3333333333333329E-2</v>
      </c>
      <c r="AN39" s="634"/>
      <c r="AO39" s="635"/>
      <c r="AP39" s="338">
        <f>SUM(F39:AO39)</f>
        <v>1</v>
      </c>
    </row>
    <row r="40" spans="1:43">
      <c r="A40" s="643" t="s">
        <v>486</v>
      </c>
      <c r="B40" s="644"/>
      <c r="C40" s="645"/>
      <c r="D40" s="349">
        <f>SUM(D7:D39)</f>
        <v>1</v>
      </c>
      <c r="E40" s="344">
        <f>SUM(E7:E39)</f>
        <v>18641749.759999998</v>
      </c>
      <c r="F40" s="633">
        <f>F41/$E$40</f>
        <v>0.11836953788719887</v>
      </c>
      <c r="G40" s="634"/>
      <c r="H40" s="635"/>
      <c r="I40" s="633">
        <f>I41/$E$40</f>
        <v>0.11940888881988727</v>
      </c>
      <c r="J40" s="634"/>
      <c r="K40" s="635"/>
      <c r="L40" s="633">
        <f>L41/$E$40</f>
        <v>0.11180845051210472</v>
      </c>
      <c r="M40" s="634"/>
      <c r="N40" s="635"/>
      <c r="O40" s="633">
        <f>O41/$E$40</f>
        <v>0.11198167566755279</v>
      </c>
      <c r="P40" s="634"/>
      <c r="Q40" s="635"/>
      <c r="R40" s="633">
        <f>R41/$E$40</f>
        <v>0.10210451784328642</v>
      </c>
      <c r="S40" s="634"/>
      <c r="T40" s="635"/>
      <c r="U40" s="633">
        <f>U41/$E$40</f>
        <v>9.1993636814058394E-2</v>
      </c>
      <c r="V40" s="634"/>
      <c r="W40" s="635"/>
      <c r="X40" s="633">
        <f>X41/$E$40</f>
        <v>8.4393198506275857E-2</v>
      </c>
      <c r="Y40" s="634"/>
      <c r="Z40" s="635"/>
      <c r="AA40" s="633">
        <f>AA41/$E$40</f>
        <v>8.4393198506275857E-2</v>
      </c>
      <c r="AB40" s="634"/>
      <c r="AC40" s="635"/>
      <c r="AD40" s="633">
        <f>AD41/$E$40</f>
        <v>8.4393198506275857E-2</v>
      </c>
      <c r="AE40" s="634"/>
      <c r="AF40" s="635"/>
      <c r="AG40" s="633">
        <f>AG41/$E$40</f>
        <v>8.4393198506275857E-2</v>
      </c>
      <c r="AH40" s="634"/>
      <c r="AI40" s="635"/>
      <c r="AJ40" s="633">
        <f>AJ41/$E$40</f>
        <v>3.380249215404123E-3</v>
      </c>
      <c r="AK40" s="634"/>
      <c r="AL40" s="635"/>
      <c r="AM40" s="633">
        <f>AM41/$E$40</f>
        <v>3.380249215404123E-3</v>
      </c>
      <c r="AN40" s="634"/>
      <c r="AO40" s="635"/>
      <c r="AP40" s="338">
        <f>SUM(F40:AO40)</f>
        <v>1</v>
      </c>
      <c r="AQ40" s="334">
        <f>SUM(AP37+AP34+AP31+AP28+AP25+AP22+AP13+AP10+AP7+AP16)</f>
        <v>17742005.609999999</v>
      </c>
    </row>
    <row r="41" spans="1:43">
      <c r="A41" s="643" t="s">
        <v>487</v>
      </c>
      <c r="B41" s="644"/>
      <c r="C41" s="645"/>
      <c r="D41" s="649" t="s">
        <v>488</v>
      </c>
      <c r="E41" s="650"/>
      <c r="F41" s="636">
        <f>F22+F16+F13+F10+F7+F25+F28+F31+F34+F37+F19</f>
        <v>2206615.3045000001</v>
      </c>
      <c r="G41" s="637"/>
      <c r="H41" s="638"/>
      <c r="I41" s="636">
        <f t="shared" ref="I41" si="81">I22+I16+I13+I10+I7+I25+I28+I31+I34+I37+I19</f>
        <v>2225990.6244999999</v>
      </c>
      <c r="J41" s="637"/>
      <c r="K41" s="638"/>
      <c r="L41" s="636">
        <f t="shared" ref="L41" si="82">L22+L16+L13+L10+L7+L25+L28+L31+L34+L37+L19</f>
        <v>2084305.1554999999</v>
      </c>
      <c r="M41" s="637"/>
      <c r="N41" s="638"/>
      <c r="O41" s="636">
        <f t="shared" ref="O41" si="83">O22+O16+O13+O10+O7+O25+O28+O31+O34+O37+O19</f>
        <v>2087534.3754999998</v>
      </c>
      <c r="P41" s="637"/>
      <c r="Q41" s="638"/>
      <c r="R41" s="636">
        <f t="shared" ref="R41" si="84">R22+R16+R13+R10+R7+R25+R28+R31+R34+R37+R19</f>
        <v>1903406.871</v>
      </c>
      <c r="S41" s="637"/>
      <c r="T41" s="638"/>
      <c r="U41" s="636">
        <f t="shared" ref="U41" si="85">U22+U16+U13+U10+U7+U25+U28+U31+U34+U37+U19</f>
        <v>1714922.3570000001</v>
      </c>
      <c r="V41" s="637"/>
      <c r="W41" s="638"/>
      <c r="X41" s="636">
        <f t="shared" ref="X41" si="86">X22+X16+X13+X10+X7+X25+X28+X31+X34+X37+X19</f>
        <v>1573236.888</v>
      </c>
      <c r="Y41" s="637"/>
      <c r="Z41" s="638"/>
      <c r="AA41" s="636">
        <f t="shared" ref="AA41" si="87">AA22+AA16+AA13+AA10+AA7+AA25+AA28+AA31+AA34+AA37+AA19</f>
        <v>1573236.888</v>
      </c>
      <c r="AB41" s="637"/>
      <c r="AC41" s="638"/>
      <c r="AD41" s="636">
        <f t="shared" ref="AD41" si="88">AD22+AD16+AD13+AD10+AD7+AD25+AD28+AD31+AD34+AD37+AD19</f>
        <v>1573236.888</v>
      </c>
      <c r="AE41" s="637"/>
      <c r="AF41" s="638"/>
      <c r="AG41" s="636">
        <f t="shared" ref="AG41" si="89">AG22+AG16+AG13+AG10+AG7+AG25+AG28+AG31+AG34+AG37+AG19</f>
        <v>1573236.888</v>
      </c>
      <c r="AH41" s="637"/>
      <c r="AI41" s="638"/>
      <c r="AJ41" s="636">
        <f t="shared" ref="AJ41" si="90">AJ22+AJ16+AJ13+AJ10+AJ7+AJ25+AJ28+AJ31+AJ34+AJ37+AJ19</f>
        <v>63013.759999999995</v>
      </c>
      <c r="AK41" s="637"/>
      <c r="AL41" s="638"/>
      <c r="AM41" s="636">
        <f t="shared" ref="AM41" si="91">AM22+AM16+AM13+AM10+AM7+AM25+AM28+AM31+AM34+AM37+AM19</f>
        <v>63013.759999999995</v>
      </c>
      <c r="AN41" s="637"/>
      <c r="AO41" s="638"/>
      <c r="AP41" s="350">
        <f>SUM(F41:AO41)</f>
        <v>18641749.760000002</v>
      </c>
    </row>
    <row r="42" spans="1:43">
      <c r="A42" s="646"/>
      <c r="B42" s="647"/>
      <c r="C42" s="648"/>
      <c r="D42" s="651" t="s">
        <v>489</v>
      </c>
      <c r="E42" s="652"/>
      <c r="F42" s="636">
        <f>F41</f>
        <v>2206615.3045000001</v>
      </c>
      <c r="G42" s="637"/>
      <c r="H42" s="638"/>
      <c r="I42" s="636">
        <f>F42+I41</f>
        <v>4432605.9289999995</v>
      </c>
      <c r="J42" s="637"/>
      <c r="K42" s="638"/>
      <c r="L42" s="636">
        <f>I42+L41</f>
        <v>6516911.0844999999</v>
      </c>
      <c r="M42" s="637"/>
      <c r="N42" s="638"/>
      <c r="O42" s="636">
        <f>L42+O41</f>
        <v>8604445.459999999</v>
      </c>
      <c r="P42" s="637"/>
      <c r="Q42" s="638"/>
      <c r="R42" s="636">
        <f>O42+R41</f>
        <v>10507852.330999998</v>
      </c>
      <c r="S42" s="637"/>
      <c r="T42" s="638"/>
      <c r="U42" s="636">
        <f>R42+U41</f>
        <v>12222774.687999999</v>
      </c>
      <c r="V42" s="637"/>
      <c r="W42" s="638"/>
      <c r="X42" s="636">
        <f>U42+X41</f>
        <v>13796011.575999999</v>
      </c>
      <c r="Y42" s="637"/>
      <c r="Z42" s="638"/>
      <c r="AA42" s="636">
        <f>X42+AA41</f>
        <v>15369248.464</v>
      </c>
      <c r="AB42" s="637"/>
      <c r="AC42" s="638"/>
      <c r="AD42" s="636">
        <f>AA42+AD41</f>
        <v>16942485.351999998</v>
      </c>
      <c r="AE42" s="637"/>
      <c r="AF42" s="638"/>
      <c r="AG42" s="636">
        <f>AD42+AG41</f>
        <v>18515722.239999998</v>
      </c>
      <c r="AH42" s="637"/>
      <c r="AI42" s="638"/>
      <c r="AJ42" s="636">
        <f>AG42+AJ41</f>
        <v>18578736</v>
      </c>
      <c r="AK42" s="637"/>
      <c r="AL42" s="638"/>
      <c r="AM42" s="636">
        <f>AJ42+AM41</f>
        <v>18641749.760000002</v>
      </c>
      <c r="AN42" s="637"/>
      <c r="AO42" s="638"/>
      <c r="AQ42" s="334"/>
    </row>
    <row r="44" spans="1:43">
      <c r="E44" s="345">
        <f>SUM(E7:E39)</f>
        <v>18641749.759999998</v>
      </c>
      <c r="L44" s="173" t="s">
        <v>490</v>
      </c>
      <c r="V44" s="346"/>
      <c r="AQ44" s="346"/>
    </row>
  </sheetData>
  <mergeCells count="434">
    <mergeCell ref="A1:E3"/>
    <mergeCell ref="F1:W3"/>
    <mergeCell ref="A4:W4"/>
    <mergeCell ref="A5:E5"/>
    <mergeCell ref="F5:W5"/>
    <mergeCell ref="B6:C6"/>
    <mergeCell ref="F6:H6"/>
    <mergeCell ref="I6:K6"/>
    <mergeCell ref="L6:N6"/>
    <mergeCell ref="O6:Q6"/>
    <mergeCell ref="R6:T6"/>
    <mergeCell ref="U6:W6"/>
    <mergeCell ref="A7:A9"/>
    <mergeCell ref="B7:C9"/>
    <mergeCell ref="D7:D9"/>
    <mergeCell ref="E7:E9"/>
    <mergeCell ref="F7:H7"/>
    <mergeCell ref="I7:K7"/>
    <mergeCell ref="L7:N7"/>
    <mergeCell ref="O7:Q7"/>
    <mergeCell ref="R7:T7"/>
    <mergeCell ref="U7:W7"/>
    <mergeCell ref="F8:H8"/>
    <mergeCell ref="U8:W8"/>
    <mergeCell ref="F9:H9"/>
    <mergeCell ref="I9:K9"/>
    <mergeCell ref="L9:N9"/>
    <mergeCell ref="O9:Q9"/>
    <mergeCell ref="R9:T9"/>
    <mergeCell ref="U9:W9"/>
    <mergeCell ref="I8:K8"/>
    <mergeCell ref="L8:N8"/>
    <mergeCell ref="O8:Q8"/>
    <mergeCell ref="R8:T8"/>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A13:A15"/>
    <mergeCell ref="B13:C15"/>
    <mergeCell ref="D13:D15"/>
    <mergeCell ref="E13:E15"/>
    <mergeCell ref="F13:H13"/>
    <mergeCell ref="I13:K13"/>
    <mergeCell ref="F15:H15"/>
    <mergeCell ref="I15:K15"/>
    <mergeCell ref="L15:N15"/>
    <mergeCell ref="U15:W15"/>
    <mergeCell ref="L13:N13"/>
    <mergeCell ref="O13:Q13"/>
    <mergeCell ref="R13:T13"/>
    <mergeCell ref="U13:W13"/>
    <mergeCell ref="F14:H14"/>
    <mergeCell ref="U14:W14"/>
    <mergeCell ref="L14:N14"/>
    <mergeCell ref="O14:Q14"/>
    <mergeCell ref="R14:T14"/>
    <mergeCell ref="I14:K14"/>
    <mergeCell ref="O15:Q15"/>
    <mergeCell ref="R15:T15"/>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A22:A24"/>
    <mergeCell ref="B22:C24"/>
    <mergeCell ref="D22:D24"/>
    <mergeCell ref="E22:E24"/>
    <mergeCell ref="F22:H22"/>
    <mergeCell ref="I22:K22"/>
    <mergeCell ref="L22:N22"/>
    <mergeCell ref="O22:Q22"/>
    <mergeCell ref="R22:T22"/>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5:A27"/>
    <mergeCell ref="B25:C27"/>
    <mergeCell ref="E25:E27"/>
    <mergeCell ref="F25:H25"/>
    <mergeCell ref="I25:K25"/>
    <mergeCell ref="L25:N25"/>
    <mergeCell ref="O25:Q25"/>
    <mergeCell ref="R25:T25"/>
    <mergeCell ref="U25:W25"/>
    <mergeCell ref="D25:D27"/>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31:A33"/>
    <mergeCell ref="B31:C33"/>
    <mergeCell ref="D31:D33"/>
    <mergeCell ref="E31:E33"/>
    <mergeCell ref="F31:H31"/>
    <mergeCell ref="I31:K31"/>
    <mergeCell ref="L28:N28"/>
    <mergeCell ref="O28:Q28"/>
    <mergeCell ref="R28:T28"/>
    <mergeCell ref="L31:N31"/>
    <mergeCell ref="O31:Q31"/>
    <mergeCell ref="R31:T31"/>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4:A36"/>
    <mergeCell ref="B34:C36"/>
    <mergeCell ref="D34:D36"/>
    <mergeCell ref="E34:E36"/>
    <mergeCell ref="F34:H34"/>
    <mergeCell ref="I34:K34"/>
    <mergeCell ref="A37:A39"/>
    <mergeCell ref="B37:C39"/>
    <mergeCell ref="D37:D39"/>
    <mergeCell ref="E37:E39"/>
    <mergeCell ref="F37:H37"/>
    <mergeCell ref="I37:K37"/>
    <mergeCell ref="L37:N37"/>
    <mergeCell ref="O37:Q37"/>
    <mergeCell ref="R37:T37"/>
    <mergeCell ref="U37:W37"/>
    <mergeCell ref="F39:H39"/>
    <mergeCell ref="I39:K39"/>
    <mergeCell ref="L39:N39"/>
    <mergeCell ref="O39:Q39"/>
    <mergeCell ref="R39:T39"/>
    <mergeCell ref="U39:W39"/>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AG6:AI6"/>
    <mergeCell ref="AJ6:AL6"/>
    <mergeCell ref="AM6:AO6"/>
    <mergeCell ref="AG7:AI7"/>
    <mergeCell ref="AJ7:AL7"/>
    <mergeCell ref="AM7:AO7"/>
    <mergeCell ref="X6:Z6"/>
    <mergeCell ref="AA6:AC6"/>
    <mergeCell ref="AD6:AF6"/>
    <mergeCell ref="X7:Z7"/>
    <mergeCell ref="AA7:AC7"/>
    <mergeCell ref="AD7:AF7"/>
    <mergeCell ref="X9:Z9"/>
    <mergeCell ref="AA9:AC9"/>
    <mergeCell ref="AD9:AF9"/>
    <mergeCell ref="AG9:AI9"/>
    <mergeCell ref="AJ9:AL9"/>
    <mergeCell ref="AM9:AO9"/>
    <mergeCell ref="X8:Z8"/>
    <mergeCell ref="AA8:AC8"/>
    <mergeCell ref="AD8:AF8"/>
    <mergeCell ref="AG8:AI8"/>
    <mergeCell ref="AJ8:AL8"/>
    <mergeCell ref="AM8:AO8"/>
    <mergeCell ref="X11:Z11"/>
    <mergeCell ref="AA11:AC11"/>
    <mergeCell ref="AD11:AF11"/>
    <mergeCell ref="AG11:AI11"/>
    <mergeCell ref="AJ11:AL11"/>
    <mergeCell ref="AM11:AO11"/>
    <mergeCell ref="X10:Z10"/>
    <mergeCell ref="AA10:AC10"/>
    <mergeCell ref="AD10:AF10"/>
    <mergeCell ref="AG10:AI10"/>
    <mergeCell ref="AJ10:AL10"/>
    <mergeCell ref="AM10:AO10"/>
    <mergeCell ref="X13:Z13"/>
    <mergeCell ref="AA13:AC13"/>
    <mergeCell ref="AD13:AF13"/>
    <mergeCell ref="AG13:AI13"/>
    <mergeCell ref="AJ13:AL13"/>
    <mergeCell ref="AM13:AO13"/>
    <mergeCell ref="X12:Z12"/>
    <mergeCell ref="AA12:AC12"/>
    <mergeCell ref="AD12:AF12"/>
    <mergeCell ref="AG12:AI12"/>
    <mergeCell ref="AJ12:AL12"/>
    <mergeCell ref="AM12:AO12"/>
    <mergeCell ref="X15:Z15"/>
    <mergeCell ref="AA15:AC15"/>
    <mergeCell ref="AD15:AF15"/>
    <mergeCell ref="AG15:AI15"/>
    <mergeCell ref="AJ15:AL15"/>
    <mergeCell ref="AM15:AO15"/>
    <mergeCell ref="X14:Z14"/>
    <mergeCell ref="AA14:AC14"/>
    <mergeCell ref="AD14:AF14"/>
    <mergeCell ref="AG14:AI14"/>
    <mergeCell ref="AJ14:AL14"/>
    <mergeCell ref="AM14:AO14"/>
    <mergeCell ref="AA17:AC17"/>
    <mergeCell ref="AD17:AF17"/>
    <mergeCell ref="AG17:AI17"/>
    <mergeCell ref="AJ17:AL17"/>
    <mergeCell ref="AM17:AO17"/>
    <mergeCell ref="X16:Z16"/>
    <mergeCell ref="AA16:AC16"/>
    <mergeCell ref="AD16:AF16"/>
    <mergeCell ref="AG16:AI16"/>
    <mergeCell ref="AJ16:AL16"/>
    <mergeCell ref="AM16:AO16"/>
    <mergeCell ref="X17:Z17"/>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G25:AI25"/>
    <mergeCell ref="AJ25:AL25"/>
    <mergeCell ref="AM25:AO25"/>
    <mergeCell ref="X24:Z24"/>
    <mergeCell ref="AA24:AC24"/>
    <mergeCell ref="AD24:AF24"/>
    <mergeCell ref="AG24:AI24"/>
    <mergeCell ref="AJ24:AL24"/>
    <mergeCell ref="AM24:AO24"/>
    <mergeCell ref="X25:Z25"/>
    <mergeCell ref="AA25:AC25"/>
    <mergeCell ref="AD25:AF25"/>
    <mergeCell ref="AG28:AI28"/>
    <mergeCell ref="AJ28:AL28"/>
    <mergeCell ref="AM28:AO28"/>
    <mergeCell ref="X27:Z27"/>
    <mergeCell ref="AA27:AC27"/>
    <mergeCell ref="AD27:AF27"/>
    <mergeCell ref="AG27:AI27"/>
    <mergeCell ref="AJ27:AL27"/>
    <mergeCell ref="AM27:AO27"/>
    <mergeCell ref="X28:Z28"/>
    <mergeCell ref="AA28:AC28"/>
    <mergeCell ref="AD28:AF28"/>
    <mergeCell ref="X34:Z34"/>
    <mergeCell ref="AA34:AC34"/>
    <mergeCell ref="AD34:AF34"/>
    <mergeCell ref="AG34:AI34"/>
    <mergeCell ref="AJ34:AL34"/>
    <mergeCell ref="AM34:AO34"/>
    <mergeCell ref="X33:Z33"/>
    <mergeCell ref="AA33:AC33"/>
    <mergeCell ref="AD33:AF33"/>
    <mergeCell ref="AG33:AI33"/>
    <mergeCell ref="AJ33:AL33"/>
    <mergeCell ref="AM33:AO33"/>
    <mergeCell ref="X37:Z37"/>
    <mergeCell ref="AA37:AC37"/>
    <mergeCell ref="AD37:AF37"/>
    <mergeCell ref="AG37:AI37"/>
    <mergeCell ref="AJ37:AL37"/>
    <mergeCell ref="AM37:AO37"/>
    <mergeCell ref="X36:Z36"/>
    <mergeCell ref="AA36:AC36"/>
    <mergeCell ref="AD36:AF36"/>
    <mergeCell ref="AG36:AI36"/>
    <mergeCell ref="AJ36:AL36"/>
    <mergeCell ref="AM36:AO36"/>
    <mergeCell ref="X42:Z42"/>
    <mergeCell ref="AA42:AC42"/>
    <mergeCell ref="AD42:AF42"/>
    <mergeCell ref="AG42:AI42"/>
    <mergeCell ref="AJ42:AL42"/>
    <mergeCell ref="AM42:AO42"/>
    <mergeCell ref="X41:Z41"/>
    <mergeCell ref="AA41:AC41"/>
    <mergeCell ref="AD41:AF41"/>
    <mergeCell ref="AG41:AI41"/>
    <mergeCell ref="AJ41:AL41"/>
    <mergeCell ref="AM41:AO41"/>
    <mergeCell ref="X40:Z40"/>
    <mergeCell ref="AA40:AC40"/>
    <mergeCell ref="AD40:AF40"/>
    <mergeCell ref="AG40:AI40"/>
    <mergeCell ref="AJ40:AL40"/>
    <mergeCell ref="AM40:AO40"/>
    <mergeCell ref="X39:Z39"/>
    <mergeCell ref="AA39:AC39"/>
    <mergeCell ref="AD39:AF39"/>
    <mergeCell ref="AG39:AI39"/>
    <mergeCell ref="AJ39:AL39"/>
    <mergeCell ref="AM39:AO39"/>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A19:A21"/>
    <mergeCell ref="B19:C21"/>
    <mergeCell ref="D19:D21"/>
    <mergeCell ref="E19:E21"/>
    <mergeCell ref="F19:H19"/>
    <mergeCell ref="I19:K19"/>
    <mergeCell ref="L19:N19"/>
    <mergeCell ref="O19:Q19"/>
    <mergeCell ref="F20:H20"/>
    <mergeCell ref="F21:H21"/>
    <mergeCell ref="I21:K21"/>
    <mergeCell ref="L21:N21"/>
    <mergeCell ref="O21:Q21"/>
    <mergeCell ref="R21:T21"/>
    <mergeCell ref="U21:W21"/>
    <mergeCell ref="R19:T19"/>
    <mergeCell ref="U19:W19"/>
    <mergeCell ref="O20:Q20"/>
    <mergeCell ref="R20:T20"/>
    <mergeCell ref="U20:W20"/>
    <mergeCell ref="X19:Z19"/>
    <mergeCell ref="AA19:AC19"/>
    <mergeCell ref="X20:Z20"/>
    <mergeCell ref="AA20:AC20"/>
    <mergeCell ref="X21:Z21"/>
    <mergeCell ref="AA21:AC21"/>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0F9F5-2DC8-4DF2-894A-672ECCB400B1}">
  <dimension ref="A1:H192"/>
  <sheetViews>
    <sheetView view="pageBreakPreview" topLeftCell="A167" zoomScale="85" zoomScaleNormal="100" zoomScaleSheetLayoutView="85" workbookViewId="0">
      <selection activeCell="L181" sqref="L181"/>
    </sheetView>
  </sheetViews>
  <sheetFormatPr defaultRowHeight="15"/>
  <cols>
    <col min="1" max="1" width="2" style="436" customWidth="1"/>
    <col min="2" max="2" width="15" style="436" customWidth="1"/>
    <col min="3" max="3" width="14" style="436" customWidth="1"/>
    <col min="4" max="4" width="80" style="436" customWidth="1"/>
    <col min="5" max="5" width="14" style="461" customWidth="1"/>
    <col min="6" max="6" width="13" style="436" customWidth="1"/>
    <col min="7" max="8" width="15" style="464" customWidth="1"/>
    <col min="9" max="16384" width="9.140625" style="436"/>
  </cols>
  <sheetData>
    <row r="1" spans="1:8">
      <c r="A1" s="433"/>
      <c r="B1" s="433"/>
      <c r="C1" s="433"/>
      <c r="D1" s="433"/>
      <c r="E1" s="434"/>
      <c r="F1" s="433"/>
      <c r="G1" s="435"/>
      <c r="H1" s="435"/>
    </row>
    <row r="2" spans="1:8" ht="17.25">
      <c r="A2" s="433"/>
      <c r="B2" s="437"/>
      <c r="C2" s="438"/>
      <c r="D2" s="439"/>
      <c r="E2" s="440" t="s">
        <v>63</v>
      </c>
      <c r="F2" s="441">
        <v>45078</v>
      </c>
      <c r="G2" s="442"/>
      <c r="H2" s="442"/>
    </row>
    <row r="3" spans="1:8" ht="17.25">
      <c r="A3" s="433"/>
      <c r="B3" s="443"/>
      <c r="C3" s="444"/>
      <c r="D3" s="445"/>
      <c r="E3" s="446" t="s">
        <v>64</v>
      </c>
      <c r="F3" s="447" t="s">
        <v>65</v>
      </c>
      <c r="G3" s="435"/>
      <c r="H3" s="435"/>
    </row>
    <row r="4" spans="1:8" ht="22.5">
      <c r="A4" s="433"/>
      <c r="B4" s="443"/>
      <c r="C4" s="448" t="s">
        <v>66</v>
      </c>
      <c r="D4" s="445"/>
      <c r="E4" s="446" t="s">
        <v>67</v>
      </c>
      <c r="F4" s="447" t="s">
        <v>68</v>
      </c>
      <c r="G4" s="435"/>
      <c r="H4" s="435"/>
    </row>
    <row r="5" spans="1:8" ht="17.25">
      <c r="A5" s="433"/>
      <c r="B5" s="449" t="s">
        <v>69</v>
      </c>
      <c r="C5" s="450"/>
      <c r="D5" s="451"/>
      <c r="E5" s="452"/>
      <c r="F5" s="453"/>
      <c r="G5" s="454"/>
      <c r="H5" s="454"/>
    </row>
    <row r="6" spans="1:8">
      <c r="A6" s="433"/>
      <c r="B6" s="444"/>
      <c r="C6" s="444"/>
      <c r="D6" s="444"/>
      <c r="E6" s="455"/>
      <c r="F6" s="433"/>
      <c r="G6" s="435"/>
      <c r="H6" s="435"/>
    </row>
    <row r="7" spans="1:8">
      <c r="A7" s="433"/>
      <c r="C7" s="444"/>
      <c r="D7" s="444"/>
      <c r="E7" s="455"/>
      <c r="F7" s="433"/>
      <c r="G7" s="435"/>
      <c r="H7" s="435"/>
    </row>
    <row r="8" spans="1:8" ht="15" customHeight="1">
      <c r="B8" s="692" t="s">
        <v>70</v>
      </c>
      <c r="C8" s="456" t="s">
        <v>71</v>
      </c>
      <c r="D8" s="456" t="s">
        <v>72</v>
      </c>
      <c r="E8" s="456" t="s">
        <v>73</v>
      </c>
      <c r="F8" s="456" t="s">
        <v>74</v>
      </c>
      <c r="G8" s="457" t="s">
        <v>75</v>
      </c>
      <c r="H8" s="457" t="s">
        <v>76</v>
      </c>
    </row>
    <row r="9" spans="1:8" ht="30">
      <c r="B9" s="692"/>
      <c r="C9" s="456" t="s">
        <v>23</v>
      </c>
      <c r="D9" s="458" t="s">
        <v>27</v>
      </c>
      <c r="E9" s="456"/>
      <c r="F9" s="459"/>
      <c r="G9" s="460"/>
      <c r="H9" s="460"/>
    </row>
    <row r="10" spans="1:8" ht="30">
      <c r="B10" s="461" t="s">
        <v>77</v>
      </c>
      <c r="C10" s="461">
        <v>5847</v>
      </c>
      <c r="D10" s="462" t="s">
        <v>131</v>
      </c>
      <c r="E10" s="461" t="s">
        <v>78</v>
      </c>
      <c r="F10" s="463">
        <v>7.9399999999999991E-3</v>
      </c>
      <c r="G10" s="464">
        <v>214.96</v>
      </c>
      <c r="H10" s="464">
        <f>TRUNC(G10*F10,2)</f>
        <v>1.7</v>
      </c>
    </row>
    <row r="11" spans="1:8">
      <c r="B11" s="461" t="s">
        <v>77</v>
      </c>
      <c r="C11" s="461">
        <v>88316</v>
      </c>
      <c r="D11" s="462" t="s">
        <v>82</v>
      </c>
      <c r="E11" s="461" t="s">
        <v>83</v>
      </c>
      <c r="F11" s="463">
        <v>6.8999999999999999E-3</v>
      </c>
      <c r="G11" s="464">
        <v>19.29</v>
      </c>
      <c r="H11" s="464">
        <f>TRUNC(G11*F11,2)</f>
        <v>0.13</v>
      </c>
    </row>
    <row r="12" spans="1:8" ht="15.75">
      <c r="E12" s="465"/>
      <c r="F12" s="466"/>
      <c r="G12" s="467" t="s">
        <v>84</v>
      </c>
      <c r="H12" s="467">
        <f>SUM(H10:H11)</f>
        <v>1.83</v>
      </c>
    </row>
    <row r="15" spans="1:8" ht="15" customHeight="1">
      <c r="B15" s="692" t="s">
        <v>70</v>
      </c>
      <c r="C15" s="456" t="s">
        <v>71</v>
      </c>
      <c r="D15" s="456" t="s">
        <v>72</v>
      </c>
      <c r="E15" s="456" t="s">
        <v>73</v>
      </c>
      <c r="F15" s="456" t="s">
        <v>74</v>
      </c>
      <c r="G15" s="457" t="s">
        <v>75</v>
      </c>
      <c r="H15" s="457" t="s">
        <v>76</v>
      </c>
    </row>
    <row r="16" spans="1:8" ht="30">
      <c r="B16" s="692"/>
      <c r="C16" s="456">
        <v>72888</v>
      </c>
      <c r="D16" s="458" t="s">
        <v>28</v>
      </c>
      <c r="E16" s="456"/>
      <c r="F16" s="459"/>
      <c r="G16" s="460"/>
      <c r="H16" s="460"/>
    </row>
    <row r="17" spans="2:8" ht="45">
      <c r="B17" s="461" t="s">
        <v>77</v>
      </c>
      <c r="C17" s="461">
        <v>5811</v>
      </c>
      <c r="D17" s="462" t="s">
        <v>132</v>
      </c>
      <c r="E17" s="461" t="s">
        <v>78</v>
      </c>
      <c r="F17" s="463">
        <v>7.0000000000000001E-3</v>
      </c>
      <c r="G17" s="464">
        <v>180.63</v>
      </c>
      <c r="H17" s="464">
        <f>TRUNC(G17*F17,2)</f>
        <v>1.26</v>
      </c>
    </row>
    <row r="18" spans="2:8" ht="15.75">
      <c r="E18" s="465"/>
      <c r="F18" s="466"/>
      <c r="G18" s="467" t="s">
        <v>84</v>
      </c>
      <c r="H18" s="467">
        <f>SUM(H17:H17)</f>
        <v>1.26</v>
      </c>
    </row>
    <row r="21" spans="2:8" ht="15" customHeight="1">
      <c r="B21" s="692" t="s">
        <v>70</v>
      </c>
      <c r="C21" s="456" t="s">
        <v>71</v>
      </c>
      <c r="D21" s="456" t="s">
        <v>72</v>
      </c>
      <c r="E21" s="456" t="s">
        <v>73</v>
      </c>
      <c r="F21" s="456" t="s">
        <v>74</v>
      </c>
      <c r="G21" s="457" t="s">
        <v>75</v>
      </c>
      <c r="H21" s="457" t="s">
        <v>76</v>
      </c>
    </row>
    <row r="22" spans="2:8" ht="15" customHeight="1">
      <c r="B22" s="692"/>
      <c r="C22" s="456">
        <v>96402</v>
      </c>
      <c r="D22" s="458" t="s">
        <v>272</v>
      </c>
      <c r="E22" s="456"/>
      <c r="F22" s="459"/>
      <c r="G22" s="460"/>
      <c r="H22" s="460"/>
    </row>
    <row r="23" spans="2:8" ht="30">
      <c r="B23" s="461" t="s">
        <v>77</v>
      </c>
      <c r="C23" s="461">
        <v>5839</v>
      </c>
      <c r="D23" s="462" t="s">
        <v>530</v>
      </c>
      <c r="E23" s="461" t="s">
        <v>78</v>
      </c>
      <c r="F23" s="468">
        <v>2E-3</v>
      </c>
      <c r="G23" s="464">
        <v>10.130000000000001</v>
      </c>
      <c r="H23" s="464">
        <f t="shared" ref="H23:H25" si="0">TRUNC(G23*F23,2)</f>
        <v>0.02</v>
      </c>
    </row>
    <row r="24" spans="2:8" ht="30">
      <c r="B24" s="461" t="s">
        <v>77</v>
      </c>
      <c r="C24" s="461">
        <v>5841</v>
      </c>
      <c r="D24" s="462" t="s">
        <v>531</v>
      </c>
      <c r="E24" s="461" t="s">
        <v>79</v>
      </c>
      <c r="F24" s="468">
        <v>4.0000000000000001E-3</v>
      </c>
      <c r="G24" s="464">
        <v>4.82</v>
      </c>
      <c r="H24" s="464">
        <f t="shared" si="0"/>
        <v>0.01</v>
      </c>
    </row>
    <row r="25" spans="2:8" ht="45">
      <c r="B25" s="461" t="s">
        <v>77</v>
      </c>
      <c r="C25" s="461">
        <v>83362</v>
      </c>
      <c r="D25" s="462" t="s">
        <v>529</v>
      </c>
      <c r="E25" s="461" t="s">
        <v>78</v>
      </c>
      <c r="F25" s="468">
        <v>4.0000000000000002E-4</v>
      </c>
      <c r="G25" s="464">
        <v>243.36</v>
      </c>
      <c r="H25" s="464">
        <f t="shared" si="0"/>
        <v>0.09</v>
      </c>
    </row>
    <row r="26" spans="2:8">
      <c r="B26" s="461" t="s">
        <v>77</v>
      </c>
      <c r="C26" s="461">
        <v>88316</v>
      </c>
      <c r="D26" s="462" t="s">
        <v>82</v>
      </c>
      <c r="E26" s="461" t="s">
        <v>83</v>
      </c>
      <c r="F26" s="468">
        <v>5.4999999999999997E-3</v>
      </c>
      <c r="G26" s="464">
        <v>19.29</v>
      </c>
      <c r="H26" s="464">
        <f t="shared" ref="H26:H29" si="1">TRUNC(G26*F26,2)</f>
        <v>0.1</v>
      </c>
    </row>
    <row r="27" spans="2:8" ht="30">
      <c r="B27" s="461" t="s">
        <v>77</v>
      </c>
      <c r="C27" s="461">
        <v>89035</v>
      </c>
      <c r="D27" s="462" t="s">
        <v>534</v>
      </c>
      <c r="E27" s="461" t="s">
        <v>78</v>
      </c>
      <c r="F27" s="468">
        <v>1.6999999999999999E-3</v>
      </c>
      <c r="G27" s="464">
        <v>107.89</v>
      </c>
      <c r="H27" s="464">
        <f t="shared" si="1"/>
        <v>0.18</v>
      </c>
    </row>
    <row r="28" spans="2:8" ht="30">
      <c r="B28" s="461" t="s">
        <v>77</v>
      </c>
      <c r="C28" s="461">
        <v>89036</v>
      </c>
      <c r="D28" s="462" t="s">
        <v>533</v>
      </c>
      <c r="E28" s="461" t="s">
        <v>79</v>
      </c>
      <c r="F28" s="468">
        <v>3.8E-3</v>
      </c>
      <c r="G28" s="464">
        <v>35.229999999999997</v>
      </c>
      <c r="H28" s="464">
        <f t="shared" si="1"/>
        <v>0.13</v>
      </c>
    </row>
    <row r="29" spans="2:8" ht="45">
      <c r="B29" s="461" t="s">
        <v>77</v>
      </c>
      <c r="C29" s="461">
        <v>91486</v>
      </c>
      <c r="D29" s="462" t="s">
        <v>532</v>
      </c>
      <c r="E29" s="461" t="s">
        <v>79</v>
      </c>
      <c r="F29" s="468">
        <v>5.1000000000000004E-3</v>
      </c>
      <c r="G29" s="464">
        <v>61.94</v>
      </c>
      <c r="H29" s="464">
        <f t="shared" si="1"/>
        <v>0.31</v>
      </c>
    </row>
    <row r="30" spans="2:8" ht="30">
      <c r="B30" s="461" t="s">
        <v>129</v>
      </c>
      <c r="C30" s="461" t="s">
        <v>541</v>
      </c>
      <c r="D30" s="462" t="s">
        <v>535</v>
      </c>
      <c r="E30" s="461" t="s">
        <v>130</v>
      </c>
      <c r="F30" s="468">
        <v>0.45</v>
      </c>
      <c r="G30" s="464">
        <v>2.9814298018924514</v>
      </c>
      <c r="H30" s="464">
        <f>TRUNC(G30*F30,2)</f>
        <v>1.34</v>
      </c>
    </row>
    <row r="31" spans="2:8" ht="15.75">
      <c r="G31" s="467" t="s">
        <v>84</v>
      </c>
      <c r="H31" s="467">
        <f>SUM(H23:H30)</f>
        <v>2.1800000000000002</v>
      </c>
    </row>
    <row r="34" spans="2:8" ht="15" customHeight="1">
      <c r="B34" s="692" t="s">
        <v>70</v>
      </c>
      <c r="C34" s="456" t="s">
        <v>71</v>
      </c>
      <c r="D34" s="456" t="s">
        <v>72</v>
      </c>
      <c r="E34" s="456" t="s">
        <v>73</v>
      </c>
      <c r="F34" s="456" t="s">
        <v>74</v>
      </c>
      <c r="G34" s="457" t="s">
        <v>75</v>
      </c>
      <c r="H34" s="457" t="s">
        <v>76</v>
      </c>
    </row>
    <row r="35" spans="2:8" ht="15" customHeight="1">
      <c r="B35" s="692"/>
      <c r="C35" s="456">
        <v>96401</v>
      </c>
      <c r="D35" s="458" t="s">
        <v>536</v>
      </c>
      <c r="E35" s="456"/>
      <c r="F35" s="459"/>
      <c r="G35" s="460"/>
      <c r="H35" s="460"/>
    </row>
    <row r="36" spans="2:8" ht="30">
      <c r="B36" s="461" t="s">
        <v>77</v>
      </c>
      <c r="C36" s="461">
        <v>5839</v>
      </c>
      <c r="D36" s="462" t="s">
        <v>530</v>
      </c>
      <c r="E36" s="461" t="s">
        <v>78</v>
      </c>
      <c r="F36" s="468">
        <v>2E-3</v>
      </c>
      <c r="G36" s="464">
        <v>10.130000000000001</v>
      </c>
      <c r="H36" s="464">
        <f t="shared" ref="H36:H42" si="2">TRUNC(G36*F36,2)</f>
        <v>0.02</v>
      </c>
    </row>
    <row r="37" spans="2:8" ht="30">
      <c r="B37" s="461" t="s">
        <v>77</v>
      </c>
      <c r="C37" s="461">
        <v>5841</v>
      </c>
      <c r="D37" s="462" t="s">
        <v>531</v>
      </c>
      <c r="E37" s="461" t="s">
        <v>79</v>
      </c>
      <c r="F37" s="468">
        <v>4.0000000000000001E-3</v>
      </c>
      <c r="G37" s="464">
        <v>4.82</v>
      </c>
      <c r="H37" s="464">
        <f t="shared" si="2"/>
        <v>0.01</v>
      </c>
    </row>
    <row r="38" spans="2:8" ht="45">
      <c r="B38" s="461" t="s">
        <v>77</v>
      </c>
      <c r="C38" s="461">
        <v>83362</v>
      </c>
      <c r="D38" s="462" t="s">
        <v>529</v>
      </c>
      <c r="E38" s="461" t="s">
        <v>78</v>
      </c>
      <c r="F38" s="468">
        <v>1E-3</v>
      </c>
      <c r="G38" s="464">
        <v>243.36</v>
      </c>
      <c r="H38" s="464">
        <f t="shared" si="2"/>
        <v>0.24</v>
      </c>
    </row>
    <row r="39" spans="2:8">
      <c r="B39" s="461" t="s">
        <v>77</v>
      </c>
      <c r="C39" s="461">
        <v>88316</v>
      </c>
      <c r="D39" s="462" t="s">
        <v>82</v>
      </c>
      <c r="E39" s="461" t="s">
        <v>83</v>
      </c>
      <c r="F39" s="468">
        <v>5.7999999999999996E-3</v>
      </c>
      <c r="G39" s="464">
        <v>19.29</v>
      </c>
      <c r="H39" s="464">
        <f t="shared" si="2"/>
        <v>0.11</v>
      </c>
    </row>
    <row r="40" spans="2:8" ht="30">
      <c r="B40" s="461" t="s">
        <v>77</v>
      </c>
      <c r="C40" s="461">
        <v>89035</v>
      </c>
      <c r="D40" s="462" t="s">
        <v>534</v>
      </c>
      <c r="E40" s="461" t="s">
        <v>78</v>
      </c>
      <c r="F40" s="468">
        <v>1.6999999999999999E-3</v>
      </c>
      <c r="G40" s="464">
        <v>107.89</v>
      </c>
      <c r="H40" s="464">
        <f t="shared" si="2"/>
        <v>0.18</v>
      </c>
    </row>
    <row r="41" spans="2:8" ht="30">
      <c r="B41" s="461" t="s">
        <v>77</v>
      </c>
      <c r="C41" s="461">
        <v>89036</v>
      </c>
      <c r="D41" s="462" t="s">
        <v>533</v>
      </c>
      <c r="E41" s="461" t="s">
        <v>79</v>
      </c>
      <c r="F41" s="468">
        <v>4.1000000000000003E-3</v>
      </c>
      <c r="G41" s="464">
        <v>35.229999999999997</v>
      </c>
      <c r="H41" s="464">
        <f t="shared" si="2"/>
        <v>0.14000000000000001</v>
      </c>
    </row>
    <row r="42" spans="2:8" ht="45">
      <c r="B42" s="461" t="s">
        <v>77</v>
      </c>
      <c r="C42" s="461">
        <v>91486</v>
      </c>
      <c r="D42" s="462" t="s">
        <v>532</v>
      </c>
      <c r="E42" s="461" t="s">
        <v>79</v>
      </c>
      <c r="F42" s="468">
        <v>4.8999999999999998E-3</v>
      </c>
      <c r="G42" s="464">
        <v>61.94</v>
      </c>
      <c r="H42" s="464">
        <f t="shared" si="2"/>
        <v>0.3</v>
      </c>
    </row>
    <row r="43" spans="2:8" ht="25.5" customHeight="1">
      <c r="B43" s="461" t="s">
        <v>129</v>
      </c>
      <c r="C43" s="461" t="s">
        <v>541</v>
      </c>
      <c r="D43" s="462" t="s">
        <v>537</v>
      </c>
      <c r="E43" s="461" t="s">
        <v>130</v>
      </c>
      <c r="F43" s="468">
        <v>1.2</v>
      </c>
      <c r="G43" s="464">
        <v>5.5448699536705091</v>
      </c>
      <c r="H43" s="464">
        <f>TRUNC(G43*F43,2)</f>
        <v>6.65</v>
      </c>
    </row>
    <row r="44" spans="2:8" ht="15.75">
      <c r="G44" s="467" t="s">
        <v>84</v>
      </c>
      <c r="H44" s="467">
        <f>SUM(H36:H43)</f>
        <v>7.65</v>
      </c>
    </row>
    <row r="45" spans="2:8" ht="15.75">
      <c r="G45" s="467"/>
      <c r="H45" s="467"/>
    </row>
    <row r="47" spans="2:8" ht="15" customHeight="1">
      <c r="B47" s="692" t="s">
        <v>70</v>
      </c>
      <c r="C47" s="456" t="s">
        <v>71</v>
      </c>
      <c r="D47" s="456" t="s">
        <v>72</v>
      </c>
      <c r="E47" s="456" t="s">
        <v>73</v>
      </c>
      <c r="F47" s="456" t="s">
        <v>74</v>
      </c>
      <c r="G47" s="457" t="s">
        <v>75</v>
      </c>
      <c r="H47" s="457" t="s">
        <v>76</v>
      </c>
    </row>
    <row r="48" spans="2:8" ht="30">
      <c r="B48" s="692"/>
      <c r="C48" s="456">
        <v>94097</v>
      </c>
      <c r="D48" s="458" t="s">
        <v>367</v>
      </c>
      <c r="E48" s="456"/>
      <c r="F48" s="459"/>
      <c r="G48" s="460"/>
      <c r="H48" s="460"/>
    </row>
    <row r="49" spans="2:8">
      <c r="B49" s="461" t="s">
        <v>77</v>
      </c>
      <c r="C49" s="461">
        <v>88309</v>
      </c>
      <c r="D49" s="462" t="s">
        <v>133</v>
      </c>
      <c r="E49" s="461" t="s">
        <v>83</v>
      </c>
      <c r="F49" s="463">
        <v>0.104</v>
      </c>
      <c r="G49" s="464">
        <v>24.33</v>
      </c>
      <c r="H49" s="464">
        <f t="shared" ref="H49:H52" si="3">TRUNC(G49*F49,2)</f>
        <v>2.5299999999999998</v>
      </c>
    </row>
    <row r="50" spans="2:8">
      <c r="B50" s="461" t="s">
        <v>77</v>
      </c>
      <c r="C50" s="461">
        <v>88316</v>
      </c>
      <c r="D50" s="462" t="s">
        <v>82</v>
      </c>
      <c r="E50" s="461" t="s">
        <v>83</v>
      </c>
      <c r="F50" s="463">
        <v>0.156</v>
      </c>
      <c r="G50" s="464">
        <v>19.29</v>
      </c>
      <c r="H50" s="464">
        <f t="shared" si="3"/>
        <v>3</v>
      </c>
    </row>
    <row r="51" spans="2:8" ht="30">
      <c r="B51" s="461" t="s">
        <v>77</v>
      </c>
      <c r="C51" s="461">
        <v>91533</v>
      </c>
      <c r="D51" s="462" t="s">
        <v>134</v>
      </c>
      <c r="E51" s="461" t="s">
        <v>78</v>
      </c>
      <c r="F51" s="463">
        <v>3.0000000000000001E-3</v>
      </c>
      <c r="G51" s="464">
        <v>25.52</v>
      </c>
      <c r="H51" s="464">
        <f t="shared" si="3"/>
        <v>7.0000000000000007E-2</v>
      </c>
    </row>
    <row r="52" spans="2:8" ht="30">
      <c r="B52" s="461" t="s">
        <v>77</v>
      </c>
      <c r="C52" s="461">
        <v>91534</v>
      </c>
      <c r="D52" s="462" t="s">
        <v>135</v>
      </c>
      <c r="E52" s="461" t="s">
        <v>79</v>
      </c>
      <c r="F52" s="463">
        <v>3.0000000000000001E-3</v>
      </c>
      <c r="G52" s="464">
        <v>19.21</v>
      </c>
      <c r="H52" s="464">
        <f t="shared" si="3"/>
        <v>0.05</v>
      </c>
    </row>
    <row r="53" spans="2:8" ht="15.75">
      <c r="E53" s="465"/>
      <c r="F53" s="466"/>
      <c r="G53" s="467" t="s">
        <v>84</v>
      </c>
      <c r="H53" s="467">
        <f>SUM(H49:H52)</f>
        <v>5.6499999999999995</v>
      </c>
    </row>
    <row r="56" spans="2:8" ht="15" customHeight="1">
      <c r="B56" s="692" t="s">
        <v>70</v>
      </c>
      <c r="C56" s="456" t="s">
        <v>71</v>
      </c>
      <c r="D56" s="456" t="s">
        <v>72</v>
      </c>
      <c r="E56" s="456" t="s">
        <v>73</v>
      </c>
      <c r="F56" s="456" t="s">
        <v>74</v>
      </c>
      <c r="G56" s="457" t="s">
        <v>75</v>
      </c>
      <c r="H56" s="457" t="s">
        <v>76</v>
      </c>
    </row>
    <row r="57" spans="2:8" ht="45">
      <c r="B57" s="692"/>
      <c r="C57" s="456">
        <v>94103</v>
      </c>
      <c r="D57" s="458" t="s">
        <v>368</v>
      </c>
      <c r="E57" s="456"/>
      <c r="F57" s="459"/>
      <c r="G57" s="460"/>
      <c r="H57" s="460"/>
    </row>
    <row r="58" spans="2:8" ht="30">
      <c r="B58" s="461" t="s">
        <v>129</v>
      </c>
      <c r="C58" s="461">
        <v>4720</v>
      </c>
      <c r="D58" s="462" t="s">
        <v>136</v>
      </c>
      <c r="E58" s="461" t="s">
        <v>137</v>
      </c>
      <c r="F58" s="463">
        <v>1.1000000000000001</v>
      </c>
      <c r="G58" s="464">
        <v>149.30000000000001</v>
      </c>
      <c r="H58" s="464">
        <f t="shared" ref="H58:H62" si="4">TRUNC(G58*F58,2)</f>
        <v>164.23</v>
      </c>
    </row>
    <row r="59" spans="2:8">
      <c r="B59" s="461" t="s">
        <v>77</v>
      </c>
      <c r="C59" s="461">
        <v>88309</v>
      </c>
      <c r="D59" s="462" t="s">
        <v>133</v>
      </c>
      <c r="E59" s="461" t="s">
        <v>83</v>
      </c>
      <c r="F59" s="463">
        <v>2.5459999999999998</v>
      </c>
      <c r="G59" s="464">
        <v>24.33</v>
      </c>
      <c r="H59" s="464">
        <f t="shared" si="4"/>
        <v>61.94</v>
      </c>
    </row>
    <row r="60" spans="2:8">
      <c r="B60" s="461" t="s">
        <v>77</v>
      </c>
      <c r="C60" s="461">
        <v>88316</v>
      </c>
      <c r="D60" s="462" t="s">
        <v>82</v>
      </c>
      <c r="E60" s="461" t="s">
        <v>83</v>
      </c>
      <c r="F60" s="463">
        <v>3.819</v>
      </c>
      <c r="G60" s="464">
        <v>19.29</v>
      </c>
      <c r="H60" s="464">
        <f t="shared" si="4"/>
        <v>73.66</v>
      </c>
    </row>
    <row r="61" spans="2:8" ht="30">
      <c r="B61" s="461" t="s">
        <v>77</v>
      </c>
      <c r="C61" s="461">
        <v>91533</v>
      </c>
      <c r="D61" s="462" t="s">
        <v>134</v>
      </c>
      <c r="E61" s="461" t="s">
        <v>78</v>
      </c>
      <c r="F61" s="463">
        <v>6.9000000000000006E-2</v>
      </c>
      <c r="G61" s="464">
        <v>25.52</v>
      </c>
      <c r="H61" s="464">
        <f t="shared" si="4"/>
        <v>1.76</v>
      </c>
    </row>
    <row r="62" spans="2:8" ht="30">
      <c r="B62" s="461" t="s">
        <v>77</v>
      </c>
      <c r="C62" s="461">
        <v>91534</v>
      </c>
      <c r="D62" s="462" t="s">
        <v>135</v>
      </c>
      <c r="E62" s="461" t="s">
        <v>79</v>
      </c>
      <c r="F62" s="463">
        <v>6.4000000000000001E-2</v>
      </c>
      <c r="G62" s="464">
        <v>19.21</v>
      </c>
      <c r="H62" s="464">
        <f t="shared" si="4"/>
        <v>1.22</v>
      </c>
    </row>
    <row r="63" spans="2:8" ht="15.75">
      <c r="E63" s="465"/>
      <c r="F63" s="466"/>
      <c r="G63" s="467" t="s">
        <v>84</v>
      </c>
      <c r="H63" s="467">
        <f>SUM(H58:H62)</f>
        <v>302.81</v>
      </c>
    </row>
    <row r="65" spans="2:8">
      <c r="C65" s="469"/>
      <c r="D65" s="469"/>
      <c r="E65" s="470"/>
      <c r="F65" s="469"/>
      <c r="G65" s="471"/>
      <c r="H65" s="471"/>
    </row>
    <row r="66" spans="2:8" ht="15" customHeight="1">
      <c r="B66" s="692" t="s">
        <v>70</v>
      </c>
      <c r="C66" s="456" t="s">
        <v>71</v>
      </c>
      <c r="D66" s="456" t="s">
        <v>72</v>
      </c>
      <c r="E66" s="456" t="s">
        <v>73</v>
      </c>
      <c r="F66" s="456" t="s">
        <v>74</v>
      </c>
      <c r="G66" s="457" t="s">
        <v>75</v>
      </c>
      <c r="H66" s="457" t="s">
        <v>76</v>
      </c>
    </row>
    <row r="67" spans="2:8" ht="45">
      <c r="B67" s="692"/>
      <c r="C67" s="456" t="s">
        <v>139</v>
      </c>
      <c r="D67" s="458" t="s">
        <v>369</v>
      </c>
      <c r="E67" s="456"/>
      <c r="F67" s="459"/>
      <c r="G67" s="460"/>
      <c r="H67" s="460"/>
    </row>
    <row r="68" spans="2:8" ht="45">
      <c r="B68" s="461" t="s">
        <v>77</v>
      </c>
      <c r="C68" s="461">
        <v>5811</v>
      </c>
      <c r="D68" s="462" t="s">
        <v>132</v>
      </c>
      <c r="E68" s="461" t="s">
        <v>78</v>
      </c>
      <c r="F68" s="463">
        <v>3.0000000000000001E-3</v>
      </c>
      <c r="G68" s="464">
        <v>180.63</v>
      </c>
      <c r="H68" s="464">
        <f t="shared" ref="H68:H70" si="5">TRUNC(G68*F68,2)</f>
        <v>0.54</v>
      </c>
    </row>
    <row r="69" spans="2:8" ht="30">
      <c r="B69" s="461" t="s">
        <v>77</v>
      </c>
      <c r="C69" s="461">
        <v>5940</v>
      </c>
      <c r="D69" s="462" t="s">
        <v>138</v>
      </c>
      <c r="E69" s="461" t="s">
        <v>78</v>
      </c>
      <c r="F69" s="463">
        <v>8.0000000000000002E-3</v>
      </c>
      <c r="G69" s="464">
        <v>160.38</v>
      </c>
      <c r="H69" s="464">
        <f t="shared" si="5"/>
        <v>1.28</v>
      </c>
    </row>
    <row r="70" spans="2:8">
      <c r="B70" s="461" t="s">
        <v>77</v>
      </c>
      <c r="C70" s="461">
        <v>88316</v>
      </c>
      <c r="D70" s="462" t="s">
        <v>82</v>
      </c>
      <c r="E70" s="461" t="s">
        <v>83</v>
      </c>
      <c r="F70" s="463">
        <v>8.0000000000000002E-3</v>
      </c>
      <c r="G70" s="464">
        <v>19.29</v>
      </c>
      <c r="H70" s="464">
        <f t="shared" si="5"/>
        <v>0.15</v>
      </c>
    </row>
    <row r="71" spans="2:8" ht="15.75">
      <c r="E71" s="465"/>
      <c r="F71" s="466"/>
      <c r="G71" s="467" t="s">
        <v>84</v>
      </c>
      <c r="H71" s="467">
        <f>SUM(H68:H70)</f>
        <v>1.97</v>
      </c>
    </row>
    <row r="74" spans="2:8" ht="15" customHeight="1">
      <c r="B74" s="692" t="s">
        <v>70</v>
      </c>
      <c r="C74" s="456" t="s">
        <v>71</v>
      </c>
      <c r="D74" s="456" t="s">
        <v>72</v>
      </c>
      <c r="E74" s="456" t="s">
        <v>73</v>
      </c>
      <c r="F74" s="456" t="s">
        <v>74</v>
      </c>
      <c r="G74" s="457" t="s">
        <v>75</v>
      </c>
      <c r="H74" s="457" t="s">
        <v>76</v>
      </c>
    </row>
    <row r="75" spans="2:8" ht="30">
      <c r="B75" s="692"/>
      <c r="C75" s="456">
        <v>83344</v>
      </c>
      <c r="D75" s="458" t="s">
        <v>366</v>
      </c>
      <c r="E75" s="456"/>
      <c r="F75" s="459"/>
      <c r="G75" s="460"/>
      <c r="H75" s="460"/>
    </row>
    <row r="76" spans="2:8" ht="30">
      <c r="B76" s="461" t="s">
        <v>77</v>
      </c>
      <c r="C76" s="461">
        <v>5847</v>
      </c>
      <c r="D76" s="462" t="s">
        <v>131</v>
      </c>
      <c r="E76" s="461" t="s">
        <v>78</v>
      </c>
      <c r="F76" s="463">
        <v>2.9867000000000001E-3</v>
      </c>
      <c r="G76" s="464">
        <v>214.96</v>
      </c>
      <c r="H76" s="464">
        <f t="shared" ref="H76:H77" si="6">TRUNC(G76*F76,2)</f>
        <v>0.64</v>
      </c>
    </row>
    <row r="77" spans="2:8">
      <c r="B77" s="461" t="s">
        <v>77</v>
      </c>
      <c r="C77" s="461">
        <v>88316</v>
      </c>
      <c r="D77" s="462" t="s">
        <v>82</v>
      </c>
      <c r="E77" s="461" t="s">
        <v>83</v>
      </c>
      <c r="F77" s="463">
        <v>2.5499999999999998E-2</v>
      </c>
      <c r="G77" s="464">
        <v>19.29</v>
      </c>
      <c r="H77" s="464">
        <f t="shared" si="6"/>
        <v>0.49</v>
      </c>
    </row>
    <row r="78" spans="2:8" ht="15.75">
      <c r="E78" s="465"/>
      <c r="F78" s="466"/>
      <c r="G78" s="467" t="s">
        <v>84</v>
      </c>
      <c r="H78" s="467">
        <f>SUM(H76:H77)</f>
        <v>1.1299999999999999</v>
      </c>
    </row>
    <row r="80" spans="2:8">
      <c r="C80" s="469"/>
      <c r="D80" s="469"/>
      <c r="E80" s="470"/>
      <c r="F80" s="469"/>
      <c r="G80" s="471"/>
      <c r="H80" s="471"/>
    </row>
    <row r="81" spans="2:8" ht="15" customHeight="1">
      <c r="B81" s="692" t="s">
        <v>70</v>
      </c>
      <c r="C81" s="456" t="s">
        <v>71</v>
      </c>
      <c r="D81" s="456" t="s">
        <v>72</v>
      </c>
      <c r="E81" s="456" t="s">
        <v>73</v>
      </c>
      <c r="F81" s="456" t="s">
        <v>74</v>
      </c>
      <c r="G81" s="457" t="s">
        <v>75</v>
      </c>
      <c r="H81" s="457" t="s">
        <v>76</v>
      </c>
    </row>
    <row r="82" spans="2:8" ht="15" customHeight="1">
      <c r="B82" s="692"/>
      <c r="C82" s="456">
        <v>96002</v>
      </c>
      <c r="D82" s="458" t="s">
        <v>18</v>
      </c>
      <c r="E82" s="456"/>
      <c r="F82" s="459"/>
      <c r="G82" s="460"/>
      <c r="H82" s="460"/>
    </row>
    <row r="83" spans="2:8" ht="45">
      <c r="B83" s="461" t="s">
        <v>77</v>
      </c>
      <c r="C83" s="461">
        <v>5811</v>
      </c>
      <c r="D83" s="462" t="s">
        <v>132</v>
      </c>
      <c r="E83" s="461" t="s">
        <v>78</v>
      </c>
      <c r="F83" s="463">
        <v>3.3999999999999998E-3</v>
      </c>
      <c r="G83" s="464">
        <v>180.63</v>
      </c>
      <c r="H83" s="464">
        <f t="shared" ref="H83:H95" si="7">TRUNC(G83*F83,2)</f>
        <v>0.61</v>
      </c>
    </row>
    <row r="84" spans="2:8" ht="45">
      <c r="B84" s="461" t="s">
        <v>77</v>
      </c>
      <c r="C84" s="461">
        <v>5961</v>
      </c>
      <c r="D84" s="462" t="s">
        <v>149</v>
      </c>
      <c r="E84" s="461" t="s">
        <v>79</v>
      </c>
      <c r="F84" s="463">
        <v>1.0500000000000001E-2</v>
      </c>
      <c r="G84" s="464">
        <v>54.34</v>
      </c>
      <c r="H84" s="464">
        <f t="shared" si="7"/>
        <v>0.56999999999999995</v>
      </c>
    </row>
    <row r="85" spans="2:8" ht="45">
      <c r="B85" s="461" t="s">
        <v>77</v>
      </c>
      <c r="C85" s="461">
        <v>6259</v>
      </c>
      <c r="D85" s="462" t="s">
        <v>150</v>
      </c>
      <c r="E85" s="461" t="s">
        <v>78</v>
      </c>
      <c r="F85" s="463">
        <v>5.9999999999999995E-4</v>
      </c>
      <c r="G85" s="464">
        <v>224.14</v>
      </c>
      <c r="H85" s="464">
        <f t="shared" si="7"/>
        <v>0.13</v>
      </c>
    </row>
    <row r="86" spans="2:8" ht="45">
      <c r="B86" s="461" t="s">
        <v>77</v>
      </c>
      <c r="C86" s="461">
        <v>6260</v>
      </c>
      <c r="D86" s="462" t="s">
        <v>151</v>
      </c>
      <c r="E86" s="461" t="s">
        <v>79</v>
      </c>
      <c r="F86" s="463">
        <v>1.9E-3</v>
      </c>
      <c r="G86" s="464">
        <v>52.55</v>
      </c>
      <c r="H86" s="464">
        <f t="shared" si="7"/>
        <v>0.09</v>
      </c>
    </row>
    <row r="87" spans="2:8">
      <c r="B87" s="461" t="s">
        <v>129</v>
      </c>
      <c r="C87" s="461">
        <v>44480</v>
      </c>
      <c r="D87" s="462" t="s">
        <v>152</v>
      </c>
      <c r="E87" s="461" t="s">
        <v>137</v>
      </c>
      <c r="F87" s="463">
        <v>2.8E-3</v>
      </c>
      <c r="G87" s="464">
        <v>22.13</v>
      </c>
      <c r="H87" s="464">
        <f t="shared" si="7"/>
        <v>0.06</v>
      </c>
    </row>
    <row r="88" spans="2:8">
      <c r="B88" s="461" t="s">
        <v>129</v>
      </c>
      <c r="C88" s="461">
        <v>44473</v>
      </c>
      <c r="D88" s="462" t="s">
        <v>153</v>
      </c>
      <c r="E88" s="461" t="s">
        <v>154</v>
      </c>
      <c r="F88" s="463">
        <v>2.0000000000000001E-4</v>
      </c>
      <c r="G88" s="464">
        <v>2623.1</v>
      </c>
      <c r="H88" s="464">
        <f t="shared" si="7"/>
        <v>0.52</v>
      </c>
    </row>
    <row r="89" spans="2:8">
      <c r="B89" s="461" t="s">
        <v>129</v>
      </c>
      <c r="C89" s="461">
        <v>44472</v>
      </c>
      <c r="D89" s="462" t="s">
        <v>155</v>
      </c>
      <c r="E89" s="461" t="s">
        <v>154</v>
      </c>
      <c r="F89" s="463">
        <v>1.95E-2</v>
      </c>
      <c r="G89" s="464">
        <v>59.3</v>
      </c>
      <c r="H89" s="464">
        <f t="shared" si="7"/>
        <v>1.1499999999999999</v>
      </c>
    </row>
    <row r="90" spans="2:8">
      <c r="B90" s="461" t="s">
        <v>129</v>
      </c>
      <c r="C90" s="461">
        <v>44471</v>
      </c>
      <c r="D90" s="462" t="s">
        <v>156</v>
      </c>
      <c r="E90" s="461" t="s">
        <v>154</v>
      </c>
      <c r="F90" s="463">
        <v>1.1000000000000001E-3</v>
      </c>
      <c r="G90" s="464">
        <v>558.38</v>
      </c>
      <c r="H90" s="464">
        <f t="shared" si="7"/>
        <v>0.61</v>
      </c>
    </row>
    <row r="91" spans="2:8">
      <c r="B91" s="461" t="s">
        <v>77</v>
      </c>
      <c r="C91" s="461">
        <v>88316</v>
      </c>
      <c r="D91" s="462" t="s">
        <v>82</v>
      </c>
      <c r="E91" s="461" t="s">
        <v>83</v>
      </c>
      <c r="F91" s="463">
        <v>2.7799999999999998E-2</v>
      </c>
      <c r="G91" s="464">
        <v>19.29</v>
      </c>
      <c r="H91" s="464">
        <f t="shared" si="7"/>
        <v>0.53</v>
      </c>
    </row>
    <row r="92" spans="2:8" ht="30">
      <c r="B92" s="461" t="s">
        <v>77</v>
      </c>
      <c r="C92" s="461">
        <v>89234</v>
      </c>
      <c r="D92" s="462" t="s">
        <v>157</v>
      </c>
      <c r="E92" s="461" t="s">
        <v>78</v>
      </c>
      <c r="F92" s="463">
        <v>3.3999999999999998E-3</v>
      </c>
      <c r="G92" s="464">
        <v>544.35</v>
      </c>
      <c r="H92" s="464">
        <f t="shared" si="7"/>
        <v>1.85</v>
      </c>
    </row>
    <row r="93" spans="2:8" ht="30">
      <c r="B93" s="461" t="s">
        <v>77</v>
      </c>
      <c r="C93" s="461">
        <v>89235</v>
      </c>
      <c r="D93" s="462" t="s">
        <v>158</v>
      </c>
      <c r="E93" s="461" t="s">
        <v>79</v>
      </c>
      <c r="F93" s="463">
        <v>1.0500000000000001E-2</v>
      </c>
      <c r="G93" s="464">
        <v>172.42</v>
      </c>
      <c r="H93" s="464">
        <f t="shared" si="7"/>
        <v>1.81</v>
      </c>
    </row>
    <row r="94" spans="2:8" ht="30">
      <c r="B94" s="461" t="s">
        <v>77</v>
      </c>
      <c r="C94" s="461">
        <v>96156</v>
      </c>
      <c r="D94" s="462" t="s">
        <v>159</v>
      </c>
      <c r="E94" s="461" t="s">
        <v>79</v>
      </c>
      <c r="F94" s="463">
        <v>1.24E-2</v>
      </c>
      <c r="G94" s="464">
        <v>50.61</v>
      </c>
      <c r="H94" s="464">
        <f t="shared" si="7"/>
        <v>0.62</v>
      </c>
    </row>
    <row r="95" spans="2:8" ht="30">
      <c r="B95" s="461" t="s">
        <v>77</v>
      </c>
      <c r="C95" s="461">
        <v>96158</v>
      </c>
      <c r="D95" s="462" t="s">
        <v>160</v>
      </c>
      <c r="E95" s="461" t="s">
        <v>78</v>
      </c>
      <c r="F95" s="463">
        <v>1.5E-3</v>
      </c>
      <c r="G95" s="464">
        <v>119.19</v>
      </c>
      <c r="H95" s="464">
        <f t="shared" si="7"/>
        <v>0.17</v>
      </c>
    </row>
    <row r="96" spans="2:8" ht="15.75">
      <c r="G96" s="467" t="s">
        <v>84</v>
      </c>
      <c r="H96" s="467">
        <f>SUM(H83:H95)</f>
        <v>8.7199999999999989</v>
      </c>
    </row>
    <row r="99" spans="2:8" ht="15" customHeight="1">
      <c r="B99" s="692" t="s">
        <v>70</v>
      </c>
      <c r="C99" s="456" t="s">
        <v>71</v>
      </c>
      <c r="D99" s="456" t="s">
        <v>72</v>
      </c>
      <c r="E99" s="456" t="s">
        <v>73</v>
      </c>
      <c r="F99" s="456" t="s">
        <v>74</v>
      </c>
      <c r="G99" s="457" t="s">
        <v>75</v>
      </c>
      <c r="H99" s="457" t="s">
        <v>76</v>
      </c>
    </row>
    <row r="100" spans="2:8" ht="45">
      <c r="B100" s="692"/>
      <c r="C100" s="472" t="s">
        <v>491</v>
      </c>
      <c r="D100" s="458" t="s">
        <v>435</v>
      </c>
      <c r="E100" s="456"/>
      <c r="F100" s="459"/>
      <c r="G100" s="460"/>
      <c r="H100" s="460"/>
    </row>
    <row r="101" spans="2:8" ht="30">
      <c r="B101" s="461" t="s">
        <v>129</v>
      </c>
      <c r="C101" s="461">
        <v>1518</v>
      </c>
      <c r="D101" s="462" t="s">
        <v>262</v>
      </c>
      <c r="E101" s="461" t="s">
        <v>8</v>
      </c>
      <c r="F101" s="463">
        <v>2.5548000000000002</v>
      </c>
      <c r="G101" s="464">
        <v>500</v>
      </c>
      <c r="H101" s="464">
        <f>TRUNC(G101*F101,2)</f>
        <v>1277.4000000000001</v>
      </c>
    </row>
    <row r="102" spans="2:8" ht="30">
      <c r="B102" s="461" t="s">
        <v>77</v>
      </c>
      <c r="C102" s="461">
        <v>5932</v>
      </c>
      <c r="D102" s="462" t="s">
        <v>80</v>
      </c>
      <c r="E102" s="461" t="s">
        <v>78</v>
      </c>
      <c r="F102" s="463">
        <v>7.7299999999999994E-2</v>
      </c>
      <c r="G102" s="464">
        <v>219.63</v>
      </c>
      <c r="H102" s="464">
        <f t="shared" ref="H102:H111" si="8">TRUNC(G102*F102,2)</f>
        <v>16.97</v>
      </c>
    </row>
    <row r="103" spans="2:8" ht="30">
      <c r="B103" s="461" t="s">
        <v>77</v>
      </c>
      <c r="C103" s="461">
        <v>5934</v>
      </c>
      <c r="D103" s="462" t="s">
        <v>81</v>
      </c>
      <c r="E103" s="461" t="s">
        <v>79</v>
      </c>
      <c r="F103" s="463">
        <v>0.15809999999999999</v>
      </c>
      <c r="G103" s="464">
        <v>77.900000000000006</v>
      </c>
      <c r="H103" s="464">
        <f t="shared" si="8"/>
        <v>12.31</v>
      </c>
    </row>
    <row r="104" spans="2:8">
      <c r="B104" s="461" t="s">
        <v>77</v>
      </c>
      <c r="C104" s="461">
        <v>88314</v>
      </c>
      <c r="D104" s="462" t="s">
        <v>263</v>
      </c>
      <c r="E104" s="461" t="s">
        <v>83</v>
      </c>
      <c r="F104" s="463">
        <v>1.8834</v>
      </c>
      <c r="G104" s="464">
        <v>16.2</v>
      </c>
      <c r="H104" s="464">
        <f t="shared" si="8"/>
        <v>30.51</v>
      </c>
    </row>
    <row r="105" spans="2:8" ht="45">
      <c r="B105" s="461" t="s">
        <v>77</v>
      </c>
      <c r="C105" s="461">
        <v>91386</v>
      </c>
      <c r="D105" s="462" t="s">
        <v>264</v>
      </c>
      <c r="E105" s="461" t="s">
        <v>78</v>
      </c>
      <c r="F105" s="463">
        <v>7.7299999999999994E-2</v>
      </c>
      <c r="G105" s="464">
        <v>237.26</v>
      </c>
      <c r="H105" s="464">
        <f t="shared" si="8"/>
        <v>18.34</v>
      </c>
    </row>
    <row r="106" spans="2:8" ht="45">
      <c r="B106" s="461" t="s">
        <v>77</v>
      </c>
      <c r="C106" s="461">
        <v>95631</v>
      </c>
      <c r="D106" s="462" t="s">
        <v>265</v>
      </c>
      <c r="E106" s="461" t="s">
        <v>78</v>
      </c>
      <c r="F106" s="463">
        <v>0.1118</v>
      </c>
      <c r="G106" s="464">
        <v>205.61</v>
      </c>
      <c r="H106" s="464">
        <f t="shared" si="8"/>
        <v>22.98</v>
      </c>
    </row>
    <row r="107" spans="2:8" ht="45">
      <c r="B107" s="461" t="s">
        <v>77</v>
      </c>
      <c r="C107" s="461">
        <v>95632</v>
      </c>
      <c r="D107" s="462" t="s">
        <v>266</v>
      </c>
      <c r="E107" s="461" t="s">
        <v>79</v>
      </c>
      <c r="F107" s="463">
        <v>0.1236</v>
      </c>
      <c r="G107" s="464">
        <v>71.84</v>
      </c>
      <c r="H107" s="464">
        <f t="shared" si="8"/>
        <v>8.8699999999999992</v>
      </c>
    </row>
    <row r="108" spans="2:8" ht="30">
      <c r="B108" s="461" t="s">
        <v>77</v>
      </c>
      <c r="C108" s="461">
        <v>96155</v>
      </c>
      <c r="D108" s="462" t="s">
        <v>267</v>
      </c>
      <c r="E108" s="461" t="s">
        <v>79</v>
      </c>
      <c r="F108" s="463">
        <v>0.17849999999999999</v>
      </c>
      <c r="G108" s="464">
        <v>39.83</v>
      </c>
      <c r="H108" s="464">
        <f t="shared" si="8"/>
        <v>7.1</v>
      </c>
    </row>
    <row r="109" spans="2:8" ht="30">
      <c r="B109" s="461" t="s">
        <v>77</v>
      </c>
      <c r="C109" s="461">
        <v>96157</v>
      </c>
      <c r="D109" s="462" t="s">
        <v>268</v>
      </c>
      <c r="E109" s="461" t="s">
        <v>78</v>
      </c>
      <c r="F109" s="463">
        <v>5.6899999999999999E-2</v>
      </c>
      <c r="G109" s="464">
        <v>116.91</v>
      </c>
      <c r="H109" s="464">
        <f t="shared" si="8"/>
        <v>6.65</v>
      </c>
    </row>
    <row r="110" spans="2:8" ht="45">
      <c r="B110" s="461" t="s">
        <v>77</v>
      </c>
      <c r="C110" s="461">
        <v>96463</v>
      </c>
      <c r="D110" s="462" t="s">
        <v>127</v>
      </c>
      <c r="E110" s="461" t="s">
        <v>78</v>
      </c>
      <c r="F110" s="463">
        <v>5.8200000000000002E-2</v>
      </c>
      <c r="G110" s="464">
        <v>196.47</v>
      </c>
      <c r="H110" s="464">
        <f t="shared" si="8"/>
        <v>11.43</v>
      </c>
    </row>
    <row r="111" spans="2:8" ht="45">
      <c r="B111" s="461" t="s">
        <v>77</v>
      </c>
      <c r="C111" s="461">
        <v>96464</v>
      </c>
      <c r="D111" s="462" t="s">
        <v>128</v>
      </c>
      <c r="E111" s="461" t="s">
        <v>79</v>
      </c>
      <c r="F111" s="463">
        <v>0.41260000000000002</v>
      </c>
      <c r="G111" s="464">
        <v>77.67</v>
      </c>
      <c r="H111" s="464">
        <f t="shared" si="8"/>
        <v>32.04</v>
      </c>
    </row>
    <row r="112" spans="2:8" ht="15.75">
      <c r="G112" s="467" t="s">
        <v>84</v>
      </c>
      <c r="H112" s="467">
        <f>SUM(H101:H111)</f>
        <v>1444.6</v>
      </c>
    </row>
    <row r="115" spans="2:8" ht="15" customHeight="1">
      <c r="B115" s="692" t="s">
        <v>70</v>
      </c>
      <c r="C115" s="456" t="s">
        <v>71</v>
      </c>
      <c r="D115" s="456" t="s">
        <v>72</v>
      </c>
      <c r="E115" s="456" t="s">
        <v>73</v>
      </c>
      <c r="F115" s="456" t="s">
        <v>74</v>
      </c>
      <c r="G115" s="457" t="s">
        <v>75</v>
      </c>
      <c r="H115" s="457" t="s">
        <v>76</v>
      </c>
    </row>
    <row r="116" spans="2:8" ht="30">
      <c r="B116" s="692"/>
      <c r="C116" s="456">
        <v>72846</v>
      </c>
      <c r="D116" s="458" t="s">
        <v>261</v>
      </c>
      <c r="E116" s="456"/>
      <c r="F116" s="459"/>
      <c r="G116" s="460"/>
      <c r="H116" s="460"/>
    </row>
    <row r="117" spans="2:8" ht="45">
      <c r="B117" s="461" t="s">
        <v>77</v>
      </c>
      <c r="C117" s="461">
        <v>5811</v>
      </c>
      <c r="D117" s="462" t="s">
        <v>132</v>
      </c>
      <c r="E117" s="461" t="s">
        <v>78</v>
      </c>
      <c r="F117" s="468">
        <v>2.3199999999999998E-2</v>
      </c>
      <c r="G117" s="464">
        <v>180.63</v>
      </c>
      <c r="H117" s="464">
        <f t="shared" ref="H117" si="9">TRUNC(F117*G117,2)</f>
        <v>4.1900000000000004</v>
      </c>
    </row>
    <row r="118" spans="2:8" ht="15.75">
      <c r="G118" s="467" t="s">
        <v>84</v>
      </c>
      <c r="H118" s="467">
        <f>SUM(H117)</f>
        <v>4.1900000000000004</v>
      </c>
    </row>
    <row r="121" spans="2:8" ht="15" customHeight="1">
      <c r="B121" s="692" t="s">
        <v>70</v>
      </c>
      <c r="C121" s="456" t="s">
        <v>71</v>
      </c>
      <c r="D121" s="456" t="s">
        <v>72</v>
      </c>
      <c r="E121" s="456" t="s">
        <v>73</v>
      </c>
      <c r="F121" s="456" t="s">
        <v>74</v>
      </c>
      <c r="G121" s="457" t="s">
        <v>75</v>
      </c>
      <c r="H121" s="457" t="s">
        <v>76</v>
      </c>
    </row>
    <row r="122" spans="2:8" ht="15" customHeight="1">
      <c r="B122" s="692"/>
      <c r="C122" s="456">
        <v>83661</v>
      </c>
      <c r="D122" s="458" t="s">
        <v>296</v>
      </c>
      <c r="E122" s="456"/>
      <c r="F122" s="459"/>
      <c r="G122" s="460"/>
      <c r="H122" s="460"/>
    </row>
    <row r="123" spans="2:8">
      <c r="B123" s="461" t="s">
        <v>129</v>
      </c>
      <c r="C123" s="461">
        <v>370</v>
      </c>
      <c r="D123" s="462" t="s">
        <v>141</v>
      </c>
      <c r="E123" s="461" t="s">
        <v>137</v>
      </c>
      <c r="F123" s="473">
        <v>0.35</v>
      </c>
      <c r="G123" s="464">
        <v>128</v>
      </c>
      <c r="H123" s="464">
        <f t="shared" ref="H123:H128" si="10">TRUNC(G123*F123,2)</f>
        <v>44.8</v>
      </c>
    </row>
    <row r="124" spans="2:8">
      <c r="B124" s="461" t="s">
        <v>129</v>
      </c>
      <c r="C124" s="461">
        <v>4718</v>
      </c>
      <c r="D124" s="462" t="s">
        <v>293</v>
      </c>
      <c r="E124" s="461" t="s">
        <v>137</v>
      </c>
      <c r="F124" s="473">
        <v>0.22</v>
      </c>
      <c r="G124" s="464">
        <v>130</v>
      </c>
      <c r="H124" s="464">
        <f t="shared" si="10"/>
        <v>28.6</v>
      </c>
    </row>
    <row r="125" spans="2:8">
      <c r="B125" s="461" t="s">
        <v>129</v>
      </c>
      <c r="C125" s="461">
        <v>12583</v>
      </c>
      <c r="D125" s="462" t="s">
        <v>294</v>
      </c>
      <c r="E125" s="461" t="s">
        <v>24</v>
      </c>
      <c r="F125" s="473">
        <v>1</v>
      </c>
      <c r="G125" s="464">
        <v>37.29</v>
      </c>
      <c r="H125" s="464">
        <f t="shared" si="10"/>
        <v>37.29</v>
      </c>
    </row>
    <row r="126" spans="2:8">
      <c r="B126" s="461" t="s">
        <v>77</v>
      </c>
      <c r="C126" s="461">
        <v>88309</v>
      </c>
      <c r="D126" s="462" t="s">
        <v>133</v>
      </c>
      <c r="E126" s="461" t="s">
        <v>83</v>
      </c>
      <c r="F126" s="473">
        <v>0.21</v>
      </c>
      <c r="G126" s="464">
        <v>24.33</v>
      </c>
      <c r="H126" s="464">
        <f t="shared" si="10"/>
        <v>5.0999999999999996</v>
      </c>
    </row>
    <row r="127" spans="2:8">
      <c r="B127" s="461" t="s">
        <v>77</v>
      </c>
      <c r="C127" s="461">
        <v>88316</v>
      </c>
      <c r="D127" s="462" t="s">
        <v>82</v>
      </c>
      <c r="E127" s="461" t="s">
        <v>83</v>
      </c>
      <c r="F127" s="473">
        <v>2.1</v>
      </c>
      <c r="G127" s="464">
        <v>19.29</v>
      </c>
      <c r="H127" s="464">
        <f t="shared" si="10"/>
        <v>40.5</v>
      </c>
    </row>
    <row r="128" spans="2:8" ht="60">
      <c r="B128" s="461" t="s">
        <v>77</v>
      </c>
      <c r="C128" s="461">
        <v>90099</v>
      </c>
      <c r="D128" s="462" t="s">
        <v>295</v>
      </c>
      <c r="E128" s="461" t="s">
        <v>137</v>
      </c>
      <c r="F128" s="473">
        <v>0.75</v>
      </c>
      <c r="G128" s="464">
        <v>13.24</v>
      </c>
      <c r="H128" s="464">
        <f t="shared" si="10"/>
        <v>9.93</v>
      </c>
    </row>
    <row r="129" spans="2:8" ht="15.75">
      <c r="G129" s="467" t="s">
        <v>84</v>
      </c>
      <c r="H129" s="467">
        <f>SUM(H123:H128)</f>
        <v>166.22</v>
      </c>
    </row>
    <row r="133" spans="2:8" ht="15" customHeight="1">
      <c r="B133" s="692" t="s">
        <v>70</v>
      </c>
      <c r="C133" s="456" t="s">
        <v>71</v>
      </c>
      <c r="D133" s="456" t="s">
        <v>72</v>
      </c>
      <c r="E133" s="456" t="s">
        <v>73</v>
      </c>
      <c r="F133" s="456" t="s">
        <v>74</v>
      </c>
      <c r="G133" s="457" t="s">
        <v>75</v>
      </c>
      <c r="H133" s="457" t="s">
        <v>76</v>
      </c>
    </row>
    <row r="134" spans="2:8" ht="30">
      <c r="B134" s="692"/>
      <c r="C134" s="456" t="s">
        <v>492</v>
      </c>
      <c r="D134" s="458" t="s">
        <v>434</v>
      </c>
      <c r="E134" s="456"/>
      <c r="F134" s="459"/>
      <c r="G134" s="460"/>
      <c r="H134" s="460"/>
    </row>
    <row r="135" spans="2:8" ht="30">
      <c r="B135" s="461" t="s">
        <v>77</v>
      </c>
      <c r="C135" s="461">
        <v>91277</v>
      </c>
      <c r="D135" s="462" t="s">
        <v>298</v>
      </c>
      <c r="E135" s="461" t="s">
        <v>78</v>
      </c>
      <c r="F135" s="473">
        <f>0.25/0.56</f>
        <v>0.4464285714285714</v>
      </c>
      <c r="G135" s="464">
        <v>8.74</v>
      </c>
      <c r="H135" s="464">
        <f t="shared" ref="H135:H141" si="11">TRUNC(G135*F135,2)</f>
        <v>3.9</v>
      </c>
    </row>
    <row r="136" spans="2:8" ht="30">
      <c r="B136" s="461" t="s">
        <v>77</v>
      </c>
      <c r="C136" s="461">
        <v>91278</v>
      </c>
      <c r="D136" s="462" t="s">
        <v>299</v>
      </c>
      <c r="E136" s="461" t="s">
        <v>79</v>
      </c>
      <c r="F136" s="473">
        <f>0.75/0.56</f>
        <v>1.3392857142857142</v>
      </c>
      <c r="G136" s="464">
        <v>0.51</v>
      </c>
      <c r="H136" s="464">
        <f t="shared" si="11"/>
        <v>0.68</v>
      </c>
    </row>
    <row r="137" spans="2:8" ht="45">
      <c r="B137" s="461" t="s">
        <v>77</v>
      </c>
      <c r="C137" s="461">
        <v>91283</v>
      </c>
      <c r="D137" s="462" t="s">
        <v>161</v>
      </c>
      <c r="E137" s="461" t="s">
        <v>78</v>
      </c>
      <c r="F137" s="473">
        <f>0.16/0.56</f>
        <v>0.2857142857142857</v>
      </c>
      <c r="G137" s="464">
        <v>10.050000000000001</v>
      </c>
      <c r="H137" s="464">
        <f t="shared" si="11"/>
        <v>2.87</v>
      </c>
    </row>
    <row r="138" spans="2:8" ht="45">
      <c r="B138" s="461" t="s">
        <v>77</v>
      </c>
      <c r="C138" s="461">
        <v>91285</v>
      </c>
      <c r="D138" s="462" t="s">
        <v>162</v>
      </c>
      <c r="E138" s="461" t="s">
        <v>79</v>
      </c>
      <c r="F138" s="473">
        <f>0.84/0.56</f>
        <v>1.4999999999999998</v>
      </c>
      <c r="G138" s="464">
        <v>1.1000000000000001</v>
      </c>
      <c r="H138" s="464">
        <f t="shared" si="11"/>
        <v>1.65</v>
      </c>
    </row>
    <row r="139" spans="2:8">
      <c r="B139" s="461" t="s">
        <v>77</v>
      </c>
      <c r="C139" s="461">
        <v>88316</v>
      </c>
      <c r="D139" s="462" t="s">
        <v>82</v>
      </c>
      <c r="E139" s="461" t="s">
        <v>83</v>
      </c>
      <c r="F139" s="473">
        <f>4/0.56</f>
        <v>7.1428571428571423</v>
      </c>
      <c r="G139" s="464">
        <v>19.29</v>
      </c>
      <c r="H139" s="464">
        <f t="shared" si="11"/>
        <v>137.78</v>
      </c>
    </row>
    <row r="140" spans="2:8">
      <c r="B140" s="461" t="s">
        <v>77</v>
      </c>
      <c r="C140" s="461">
        <v>88314</v>
      </c>
      <c r="D140" s="462" t="s">
        <v>263</v>
      </c>
      <c r="E140" s="461" t="s">
        <v>83</v>
      </c>
      <c r="F140" s="474">
        <f>2/0.56</f>
        <v>3.5714285714285712</v>
      </c>
      <c r="G140" s="464">
        <v>16.2</v>
      </c>
      <c r="H140" s="464">
        <f t="shared" si="11"/>
        <v>57.85</v>
      </c>
    </row>
    <row r="141" spans="2:8" ht="30">
      <c r="B141" s="461" t="s">
        <v>129</v>
      </c>
      <c r="C141" s="461">
        <v>1518</v>
      </c>
      <c r="D141" s="462" t="s">
        <v>262</v>
      </c>
      <c r="E141" s="461" t="s">
        <v>8</v>
      </c>
      <c r="F141" s="474">
        <v>2.5548000000000002</v>
      </c>
      <c r="G141" s="464">
        <v>500</v>
      </c>
      <c r="H141" s="464">
        <f t="shared" si="11"/>
        <v>1277.4000000000001</v>
      </c>
    </row>
    <row r="142" spans="2:8" ht="15.75">
      <c r="B142" s="461"/>
      <c r="C142" s="461"/>
      <c r="D142" s="462"/>
      <c r="F142" s="473"/>
      <c r="G142" s="467" t="s">
        <v>84</v>
      </c>
      <c r="H142" s="467">
        <f>SUM(H135:H141)</f>
        <v>1482.13</v>
      </c>
    </row>
    <row r="145" spans="2:8" ht="15" customHeight="1">
      <c r="B145" s="692" t="s">
        <v>70</v>
      </c>
      <c r="C145" s="456" t="s">
        <v>71</v>
      </c>
      <c r="D145" s="456" t="s">
        <v>72</v>
      </c>
      <c r="E145" s="456" t="s">
        <v>73</v>
      </c>
      <c r="F145" s="456" t="s">
        <v>74</v>
      </c>
      <c r="G145" s="457" t="s">
        <v>75</v>
      </c>
      <c r="H145" s="457" t="s">
        <v>76</v>
      </c>
    </row>
    <row r="146" spans="2:8" ht="15" customHeight="1">
      <c r="B146" s="692"/>
      <c r="C146" s="456" t="s">
        <v>494</v>
      </c>
      <c r="D146" s="458" t="s">
        <v>300</v>
      </c>
      <c r="E146" s="456"/>
      <c r="F146" s="459"/>
      <c r="G146" s="460"/>
      <c r="H146" s="460"/>
    </row>
    <row r="147" spans="2:8">
      <c r="B147" s="461" t="s">
        <v>129</v>
      </c>
      <c r="C147" s="461">
        <v>40813</v>
      </c>
      <c r="D147" s="462" t="s">
        <v>302</v>
      </c>
      <c r="E147" s="461" t="s">
        <v>308</v>
      </c>
      <c r="F147" s="473">
        <v>1</v>
      </c>
      <c r="G147" s="464">
        <v>21261.88</v>
      </c>
      <c r="H147" s="464">
        <f t="shared" ref="H147:H154" si="12">TRUNC(G147*F147,2)</f>
        <v>21261.88</v>
      </c>
    </row>
    <row r="148" spans="2:8">
      <c r="B148" s="461" t="s">
        <v>129</v>
      </c>
      <c r="C148" s="461">
        <v>40931</v>
      </c>
      <c r="D148" s="462" t="s">
        <v>303</v>
      </c>
      <c r="E148" s="461" t="s">
        <v>308</v>
      </c>
      <c r="F148" s="473">
        <v>1</v>
      </c>
      <c r="G148" s="464">
        <v>4826.01</v>
      </c>
      <c r="H148" s="464">
        <f t="shared" si="12"/>
        <v>4826.01</v>
      </c>
    </row>
    <row r="149" spans="2:8">
      <c r="B149" s="461" t="s">
        <v>129</v>
      </c>
      <c r="C149" s="461">
        <v>40944</v>
      </c>
      <c r="D149" s="462" t="s">
        <v>304</v>
      </c>
      <c r="E149" s="461" t="s">
        <v>308</v>
      </c>
      <c r="F149" s="473">
        <v>1</v>
      </c>
      <c r="G149" s="464">
        <v>4503.18</v>
      </c>
      <c r="H149" s="464">
        <f t="shared" si="12"/>
        <v>4503.18</v>
      </c>
    </row>
    <row r="150" spans="2:8">
      <c r="B150" s="461" t="s">
        <v>129</v>
      </c>
      <c r="C150" s="461">
        <v>40812</v>
      </c>
      <c r="D150" s="462" t="s">
        <v>305</v>
      </c>
      <c r="E150" s="461" t="s">
        <v>308</v>
      </c>
      <c r="F150" s="473">
        <v>1</v>
      </c>
      <c r="G150" s="464">
        <v>2573.25</v>
      </c>
      <c r="H150" s="464">
        <f t="shared" si="12"/>
        <v>2573.25</v>
      </c>
    </row>
    <row r="151" spans="2:8">
      <c r="B151" s="461" t="s">
        <v>129</v>
      </c>
      <c r="C151" s="461">
        <v>41090</v>
      </c>
      <c r="D151" s="462" t="s">
        <v>312</v>
      </c>
      <c r="E151" s="461" t="s">
        <v>308</v>
      </c>
      <c r="F151" s="473">
        <v>1</v>
      </c>
      <c r="G151" s="464">
        <v>4134.3599999999997</v>
      </c>
      <c r="H151" s="464">
        <f t="shared" si="12"/>
        <v>4134.3599999999997</v>
      </c>
    </row>
    <row r="152" spans="2:8">
      <c r="B152" s="461" t="s">
        <v>129</v>
      </c>
      <c r="C152" s="461">
        <v>41089</v>
      </c>
      <c r="D152" s="462" t="s">
        <v>313</v>
      </c>
      <c r="E152" s="461" t="s">
        <v>308</v>
      </c>
      <c r="F152" s="473">
        <v>1</v>
      </c>
      <c r="G152" s="464">
        <v>4547.79</v>
      </c>
      <c r="H152" s="464">
        <f t="shared" si="12"/>
        <v>4547.79</v>
      </c>
    </row>
    <row r="153" spans="2:8" ht="30">
      <c r="B153" s="461" t="s">
        <v>129</v>
      </c>
      <c r="C153" s="461">
        <v>41776</v>
      </c>
      <c r="D153" s="462" t="s">
        <v>314</v>
      </c>
      <c r="E153" s="461" t="s">
        <v>301</v>
      </c>
      <c r="F153" s="473">
        <f>7*30</f>
        <v>210</v>
      </c>
      <c r="G153" s="464">
        <v>19.149999999999999</v>
      </c>
      <c r="H153" s="464">
        <f t="shared" si="12"/>
        <v>4021.5</v>
      </c>
    </row>
    <row r="154" spans="2:8">
      <c r="B154" s="461" t="s">
        <v>129</v>
      </c>
      <c r="C154" s="461">
        <v>40990</v>
      </c>
      <c r="D154" s="462" t="s">
        <v>315</v>
      </c>
      <c r="E154" s="461" t="s">
        <v>308</v>
      </c>
      <c r="F154" s="473">
        <v>1</v>
      </c>
      <c r="G154" s="464">
        <v>2755.04</v>
      </c>
      <c r="H154" s="464">
        <f t="shared" si="12"/>
        <v>2755.04</v>
      </c>
    </row>
    <row r="155" spans="2:8" ht="15.75">
      <c r="B155" s="461"/>
      <c r="C155" s="461"/>
      <c r="D155" s="462"/>
      <c r="F155" s="473"/>
      <c r="G155" s="467" t="s">
        <v>84</v>
      </c>
      <c r="H155" s="467">
        <f>SUM(H147:H154)</f>
        <v>48623.01</v>
      </c>
    </row>
    <row r="159" spans="2:8" ht="15" customHeight="1">
      <c r="B159" s="692" t="s">
        <v>70</v>
      </c>
      <c r="C159" s="456" t="s">
        <v>71</v>
      </c>
      <c r="D159" s="456" t="s">
        <v>72</v>
      </c>
      <c r="E159" s="456" t="s">
        <v>73</v>
      </c>
      <c r="F159" s="456" t="s">
        <v>74</v>
      </c>
      <c r="G159" s="457" t="s">
        <v>75</v>
      </c>
      <c r="H159" s="457" t="s">
        <v>76</v>
      </c>
    </row>
    <row r="160" spans="2:8" ht="15" customHeight="1">
      <c r="B160" s="692"/>
      <c r="C160" s="456" t="s">
        <v>493</v>
      </c>
      <c r="D160" s="458" t="s">
        <v>361</v>
      </c>
      <c r="E160" s="456"/>
      <c r="F160" s="459"/>
      <c r="G160" s="460"/>
      <c r="H160" s="460"/>
    </row>
    <row r="161" spans="2:8" ht="30">
      <c r="B161" s="461" t="s">
        <v>77</v>
      </c>
      <c r="C161" s="461">
        <v>5795</v>
      </c>
      <c r="D161" s="462" t="s">
        <v>359</v>
      </c>
      <c r="E161" s="461" t="s">
        <v>78</v>
      </c>
      <c r="F161" s="473">
        <v>1.5562</v>
      </c>
      <c r="G161" s="464">
        <v>19.63</v>
      </c>
      <c r="H161" s="464">
        <f t="shared" ref="H161:H163" si="13">TRUNC(G161*F161,2)</f>
        <v>30.54</v>
      </c>
    </row>
    <row r="162" spans="2:8" ht="30">
      <c r="B162" s="461" t="s">
        <v>77</v>
      </c>
      <c r="C162" s="461">
        <v>5952</v>
      </c>
      <c r="D162" s="462" t="s">
        <v>360</v>
      </c>
      <c r="E162" s="461" t="s">
        <v>79</v>
      </c>
      <c r="F162" s="473">
        <v>0.44109999999999999</v>
      </c>
      <c r="G162" s="464">
        <v>17.36</v>
      </c>
      <c r="H162" s="464">
        <f t="shared" si="13"/>
        <v>7.65</v>
      </c>
    </row>
    <row r="163" spans="2:8">
      <c r="B163" s="461" t="s">
        <v>77</v>
      </c>
      <c r="C163" s="461">
        <v>88309</v>
      </c>
      <c r="D163" s="462" t="s">
        <v>133</v>
      </c>
      <c r="E163" s="461" t="s">
        <v>83</v>
      </c>
      <c r="F163" s="473">
        <v>0.30509999999999998</v>
      </c>
      <c r="G163" s="464">
        <v>24.33</v>
      </c>
      <c r="H163" s="464">
        <f t="shared" si="13"/>
        <v>7.42</v>
      </c>
    </row>
    <row r="164" spans="2:8">
      <c r="B164" s="461" t="s">
        <v>77</v>
      </c>
      <c r="C164" s="461">
        <v>88316</v>
      </c>
      <c r="D164" s="462" t="s">
        <v>82</v>
      </c>
      <c r="E164" s="461" t="s">
        <v>83</v>
      </c>
      <c r="F164" s="473">
        <v>3.153</v>
      </c>
      <c r="G164" s="464">
        <v>19.29</v>
      </c>
      <c r="H164" s="464">
        <f>TRUNC(G164*F164,2)</f>
        <v>60.82</v>
      </c>
    </row>
    <row r="165" spans="2:8" ht="15.75">
      <c r="G165" s="467" t="s">
        <v>84</v>
      </c>
      <c r="H165" s="467">
        <f>SUM(H161:H164)</f>
        <v>106.43</v>
      </c>
    </row>
    <row r="168" spans="2:8" ht="15" customHeight="1">
      <c r="B168" s="692" t="s">
        <v>70</v>
      </c>
      <c r="C168" s="456" t="s">
        <v>71</v>
      </c>
      <c r="D168" s="456" t="s">
        <v>72</v>
      </c>
      <c r="E168" s="456" t="s">
        <v>73</v>
      </c>
      <c r="F168" s="456" t="s">
        <v>74</v>
      </c>
      <c r="G168" s="457" t="s">
        <v>75</v>
      </c>
      <c r="H168" s="457" t="s">
        <v>76</v>
      </c>
    </row>
    <row r="169" spans="2:8" ht="45">
      <c r="B169" s="692"/>
      <c r="C169" s="456">
        <v>83627</v>
      </c>
      <c r="D169" s="458" t="s">
        <v>385</v>
      </c>
      <c r="E169" s="456"/>
      <c r="F169" s="459"/>
      <c r="G169" s="460"/>
      <c r="H169" s="460"/>
    </row>
    <row r="170" spans="2:8" ht="30">
      <c r="B170" s="461" t="s">
        <v>129</v>
      </c>
      <c r="C170" s="461">
        <v>11301</v>
      </c>
      <c r="D170" s="462" t="s">
        <v>383</v>
      </c>
      <c r="E170" s="461" t="s">
        <v>154</v>
      </c>
      <c r="F170" s="473">
        <v>1</v>
      </c>
      <c r="G170" s="464">
        <v>629.09</v>
      </c>
      <c r="H170" s="464">
        <f t="shared" ref="H170:H173" si="14">TRUNC(G170*F170,2)</f>
        <v>629.09</v>
      </c>
    </row>
    <row r="171" spans="2:8" ht="30">
      <c r="B171" s="461" t="s">
        <v>77</v>
      </c>
      <c r="C171" s="461">
        <v>87316</v>
      </c>
      <c r="D171" s="462" t="s">
        <v>381</v>
      </c>
      <c r="E171" s="461" t="s">
        <v>137</v>
      </c>
      <c r="F171" s="473">
        <v>5.0000000000000001E-3</v>
      </c>
      <c r="G171" s="464">
        <v>519.9</v>
      </c>
      <c r="H171" s="464">
        <f t="shared" si="14"/>
        <v>2.59</v>
      </c>
    </row>
    <row r="172" spans="2:8">
      <c r="B172" s="461" t="s">
        <v>77</v>
      </c>
      <c r="C172" s="461">
        <v>88309</v>
      </c>
      <c r="D172" s="462" t="s">
        <v>133</v>
      </c>
      <c r="E172" s="461" t="s">
        <v>83</v>
      </c>
      <c r="F172" s="473">
        <v>2</v>
      </c>
      <c r="G172" s="464">
        <v>24.33</v>
      </c>
      <c r="H172" s="464">
        <f t="shared" si="14"/>
        <v>48.66</v>
      </c>
    </row>
    <row r="173" spans="2:8">
      <c r="B173" s="461" t="s">
        <v>77</v>
      </c>
      <c r="C173" s="461">
        <v>88316</v>
      </c>
      <c r="D173" s="462" t="s">
        <v>82</v>
      </c>
      <c r="E173" s="461" t="s">
        <v>83</v>
      </c>
      <c r="F173" s="473">
        <v>2</v>
      </c>
      <c r="G173" s="464">
        <v>19.29</v>
      </c>
      <c r="H173" s="464">
        <f t="shared" si="14"/>
        <v>38.58</v>
      </c>
    </row>
    <row r="174" spans="2:8" ht="15.75">
      <c r="G174" s="467" t="s">
        <v>84</v>
      </c>
      <c r="H174" s="467">
        <f>SUM(H170:H173)</f>
        <v>718.92000000000007</v>
      </c>
    </row>
    <row r="177" spans="2:8" ht="15" customHeight="1">
      <c r="B177" s="692" t="s">
        <v>70</v>
      </c>
      <c r="C177" s="456" t="s">
        <v>71</v>
      </c>
      <c r="D177" s="456" t="s">
        <v>72</v>
      </c>
      <c r="E177" s="456" t="s">
        <v>73</v>
      </c>
      <c r="F177" s="456" t="s">
        <v>74</v>
      </c>
      <c r="G177" s="457" t="s">
        <v>75</v>
      </c>
      <c r="H177" s="457" t="s">
        <v>76</v>
      </c>
    </row>
    <row r="178" spans="2:8" ht="15" customHeight="1">
      <c r="B178" s="692"/>
      <c r="C178" s="456" t="s">
        <v>390</v>
      </c>
      <c r="D178" s="458" t="s">
        <v>391</v>
      </c>
      <c r="E178" s="456"/>
      <c r="F178" s="459"/>
      <c r="G178" s="460"/>
      <c r="H178" s="460"/>
    </row>
    <row r="179" spans="2:8" ht="30">
      <c r="B179" s="461" t="s">
        <v>129</v>
      </c>
      <c r="C179" s="461">
        <v>4417</v>
      </c>
      <c r="D179" s="462" t="s">
        <v>392</v>
      </c>
      <c r="E179" s="461" t="s">
        <v>24</v>
      </c>
      <c r="F179" s="473">
        <v>1</v>
      </c>
      <c r="G179" s="464">
        <v>6.39</v>
      </c>
      <c r="H179" s="464">
        <f t="shared" ref="H179:H185" si="15">TRUNC(G179*F179,2)</f>
        <v>6.39</v>
      </c>
    </row>
    <row r="180" spans="2:8">
      <c r="B180" s="461" t="s">
        <v>129</v>
      </c>
      <c r="C180" s="461">
        <v>4491</v>
      </c>
      <c r="D180" s="462" t="s">
        <v>524</v>
      </c>
      <c r="E180" s="461" t="s">
        <v>24</v>
      </c>
      <c r="F180" s="473">
        <v>4</v>
      </c>
      <c r="G180" s="464">
        <v>11.93</v>
      </c>
      <c r="H180" s="464">
        <f t="shared" si="15"/>
        <v>47.72</v>
      </c>
    </row>
    <row r="181" spans="2:8" ht="30">
      <c r="B181" s="461" t="s">
        <v>129</v>
      </c>
      <c r="C181" s="461">
        <v>4813</v>
      </c>
      <c r="D181" s="462" t="s">
        <v>538</v>
      </c>
      <c r="E181" s="461" t="s">
        <v>9</v>
      </c>
      <c r="F181" s="473">
        <v>1</v>
      </c>
      <c r="G181" s="464">
        <v>250</v>
      </c>
      <c r="H181" s="464">
        <f t="shared" si="15"/>
        <v>250</v>
      </c>
    </row>
    <row r="182" spans="2:8">
      <c r="B182" s="461" t="s">
        <v>129</v>
      </c>
      <c r="C182" s="461">
        <v>5075</v>
      </c>
      <c r="D182" s="462" t="s">
        <v>393</v>
      </c>
      <c r="E182" s="461" t="s">
        <v>130</v>
      </c>
      <c r="F182" s="473">
        <v>0.11</v>
      </c>
      <c r="G182" s="464">
        <v>25.43</v>
      </c>
      <c r="H182" s="464">
        <f t="shared" si="15"/>
        <v>2.79</v>
      </c>
    </row>
    <row r="183" spans="2:8" ht="30">
      <c r="B183" s="475" t="s">
        <v>389</v>
      </c>
      <c r="C183" s="461">
        <v>88262</v>
      </c>
      <c r="D183" s="462" t="s">
        <v>142</v>
      </c>
      <c r="E183" s="461" t="s">
        <v>83</v>
      </c>
      <c r="F183" s="473">
        <v>1</v>
      </c>
      <c r="G183" s="464">
        <v>23.96</v>
      </c>
      <c r="H183" s="464">
        <f t="shared" si="15"/>
        <v>23.96</v>
      </c>
    </row>
    <row r="184" spans="2:8" ht="30">
      <c r="B184" s="475" t="s">
        <v>389</v>
      </c>
      <c r="C184" s="461">
        <v>88316</v>
      </c>
      <c r="D184" s="462" t="s">
        <v>82</v>
      </c>
      <c r="E184" s="461" t="s">
        <v>83</v>
      </c>
      <c r="F184" s="473">
        <v>2</v>
      </c>
      <c r="G184" s="464">
        <v>19.29</v>
      </c>
      <c r="H184" s="464">
        <f t="shared" si="15"/>
        <v>38.58</v>
      </c>
    </row>
    <row r="185" spans="2:8" ht="30">
      <c r="B185" s="475" t="s">
        <v>389</v>
      </c>
      <c r="C185" s="461">
        <v>94962</v>
      </c>
      <c r="D185" s="462" t="s">
        <v>394</v>
      </c>
      <c r="E185" s="461" t="s">
        <v>137</v>
      </c>
      <c r="F185" s="473">
        <v>0.01</v>
      </c>
      <c r="G185" s="464">
        <v>440.4</v>
      </c>
      <c r="H185" s="464">
        <f t="shared" si="15"/>
        <v>4.4000000000000004</v>
      </c>
    </row>
    <row r="186" spans="2:8" ht="15.75">
      <c r="G186" s="467" t="s">
        <v>84</v>
      </c>
      <c r="H186" s="467">
        <f>SUM(H179:H185)</f>
        <v>373.84</v>
      </c>
    </row>
    <row r="189" spans="2:8" ht="15" customHeight="1">
      <c r="B189" s="692" t="s">
        <v>70</v>
      </c>
      <c r="C189" s="456" t="s">
        <v>71</v>
      </c>
      <c r="D189" s="456" t="s">
        <v>72</v>
      </c>
      <c r="E189" s="456" t="s">
        <v>73</v>
      </c>
      <c r="F189" s="456" t="s">
        <v>74</v>
      </c>
      <c r="G189" s="457" t="s">
        <v>75</v>
      </c>
      <c r="H189" s="457" t="s">
        <v>76</v>
      </c>
    </row>
    <row r="190" spans="2:8" ht="15" customHeight="1">
      <c r="B190" s="692"/>
      <c r="C190" s="456">
        <v>83356</v>
      </c>
      <c r="D190" s="458" t="s">
        <v>500</v>
      </c>
      <c r="E190" s="456" t="s">
        <v>501</v>
      </c>
      <c r="F190" s="459"/>
      <c r="G190" s="460"/>
      <c r="H190" s="460"/>
    </row>
    <row r="191" spans="2:8" ht="45">
      <c r="B191" s="475" t="s">
        <v>389</v>
      </c>
      <c r="C191" s="461">
        <v>91386</v>
      </c>
      <c r="D191" s="462" t="s">
        <v>264</v>
      </c>
      <c r="E191" s="461" t="s">
        <v>78</v>
      </c>
      <c r="F191" s="436">
        <v>4.6296000000000002E-3</v>
      </c>
      <c r="G191" s="464">
        <v>237.26</v>
      </c>
      <c r="H191" s="464">
        <f>TRUNC(G191*F191,2)</f>
        <v>1.0900000000000001</v>
      </c>
    </row>
    <row r="192" spans="2:8" ht="15.75">
      <c r="G192" s="467" t="s">
        <v>84</v>
      </c>
      <c r="H192" s="476">
        <f>H191</f>
        <v>1.0900000000000001</v>
      </c>
    </row>
  </sheetData>
  <sheetProtection formatCells="0" formatColumns="0" formatRows="0" insertColumns="0" insertRows="0" insertHyperlinks="0" deleteColumns="0" deleteRows="0" sort="0" autoFilter="0" pivotTables="0"/>
  <mergeCells count="18">
    <mergeCell ref="B34:B35"/>
    <mergeCell ref="B8:B9"/>
    <mergeCell ref="B15:B16"/>
    <mergeCell ref="B81:B82"/>
    <mergeCell ref="B99:B100"/>
    <mergeCell ref="B21:B22"/>
    <mergeCell ref="B189:B190"/>
    <mergeCell ref="B115:B116"/>
    <mergeCell ref="B47:B48"/>
    <mergeCell ref="B56:B57"/>
    <mergeCell ref="B66:B67"/>
    <mergeCell ref="B74:B75"/>
    <mergeCell ref="B177:B178"/>
    <mergeCell ref="B121:B122"/>
    <mergeCell ref="B133:B134"/>
    <mergeCell ref="B145:B146"/>
    <mergeCell ref="B159:B160"/>
    <mergeCell ref="B168:B169"/>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3" zoomScaleNormal="100" zoomScaleSheetLayoutView="100" workbookViewId="0">
      <selection activeCell="R26" sqref="R26:T30"/>
    </sheetView>
  </sheetViews>
  <sheetFormatPr defaultRowHeight="12.75"/>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c r="A1" s="693" t="s">
        <v>85</v>
      </c>
      <c r="B1" s="694"/>
      <c r="C1" s="694"/>
      <c r="D1" s="694"/>
      <c r="E1" s="694"/>
      <c r="F1" s="694"/>
      <c r="G1" s="694"/>
      <c r="H1" s="694"/>
      <c r="I1" s="694"/>
      <c r="J1" s="694"/>
      <c r="K1" s="694"/>
      <c r="L1" s="694"/>
      <c r="M1" s="694"/>
      <c r="N1" s="694"/>
      <c r="O1" s="694"/>
      <c r="P1" s="694"/>
      <c r="Q1" s="694"/>
      <c r="R1" s="694"/>
      <c r="S1" s="694"/>
      <c r="T1" s="694"/>
      <c r="U1" s="28">
        <v>45017</v>
      </c>
    </row>
    <row r="2" spans="1:21">
      <c r="A2" s="695" t="s">
        <v>86</v>
      </c>
      <c r="B2" s="696"/>
      <c r="C2" s="696"/>
      <c r="D2" s="696"/>
      <c r="E2" s="697"/>
      <c r="F2" s="695" t="s">
        <v>285</v>
      </c>
      <c r="G2" s="696"/>
      <c r="H2" s="696"/>
      <c r="I2" s="696"/>
      <c r="J2" s="696"/>
      <c r="K2" s="696"/>
      <c r="L2" s="696"/>
      <c r="M2" s="696"/>
      <c r="N2" s="696"/>
      <c r="O2" s="696"/>
      <c r="P2" s="696"/>
      <c r="Q2" s="696"/>
      <c r="R2" s="696"/>
      <c r="S2" s="696"/>
      <c r="T2" s="697"/>
      <c r="U2" s="30" t="s">
        <v>87</v>
      </c>
    </row>
    <row r="3" spans="1:21" ht="12.75" customHeight="1">
      <c r="A3" s="698" t="s">
        <v>539</v>
      </c>
      <c r="B3" s="699"/>
      <c r="C3" s="699"/>
      <c r="D3" s="699"/>
      <c r="E3" s="700"/>
      <c r="F3" s="701" t="s">
        <v>61</v>
      </c>
      <c r="G3" s="702"/>
      <c r="H3" s="702"/>
      <c r="I3" s="702"/>
      <c r="J3" s="702"/>
      <c r="K3" s="702"/>
      <c r="L3" s="702"/>
      <c r="M3" s="702"/>
      <c r="N3" s="702"/>
      <c r="O3" s="702"/>
      <c r="P3" s="702"/>
      <c r="Q3" s="702"/>
      <c r="R3" s="702"/>
      <c r="S3" s="702"/>
      <c r="T3" s="703"/>
      <c r="U3" s="31" t="s">
        <v>88</v>
      </c>
    </row>
    <row r="4" spans="1:21" ht="12.75" customHeight="1">
      <c r="A4" s="704" t="s">
        <v>89</v>
      </c>
      <c r="B4" s="704"/>
      <c r="C4" s="704"/>
      <c r="D4" s="704"/>
      <c r="E4" s="704"/>
      <c r="F4" s="704"/>
      <c r="G4" s="704"/>
      <c r="H4" s="704"/>
      <c r="I4" s="704"/>
      <c r="J4" s="704"/>
      <c r="K4" s="705" t="s">
        <v>90</v>
      </c>
      <c r="L4" s="705"/>
      <c r="M4" s="705" t="s">
        <v>91</v>
      </c>
      <c r="N4" s="705"/>
      <c r="O4" s="705"/>
      <c r="P4" s="705"/>
      <c r="Q4" s="705" t="s">
        <v>92</v>
      </c>
      <c r="R4" s="705"/>
      <c r="S4" s="705"/>
      <c r="T4" s="705"/>
      <c r="U4" s="705" t="s">
        <v>93</v>
      </c>
    </row>
    <row r="5" spans="1:21" ht="12.75" customHeight="1">
      <c r="A5" s="704"/>
      <c r="B5" s="704"/>
      <c r="C5" s="704"/>
      <c r="D5" s="704"/>
      <c r="E5" s="704"/>
      <c r="F5" s="704"/>
      <c r="G5" s="704"/>
      <c r="H5" s="704"/>
      <c r="I5" s="704"/>
      <c r="J5" s="704"/>
      <c r="K5" s="705"/>
      <c r="L5" s="705"/>
      <c r="M5" s="705" t="s">
        <v>94</v>
      </c>
      <c r="N5" s="705"/>
      <c r="O5" s="705" t="s">
        <v>95</v>
      </c>
      <c r="P5" s="705"/>
      <c r="Q5" s="705" t="s">
        <v>94</v>
      </c>
      <c r="R5" s="705"/>
      <c r="S5" s="705" t="s">
        <v>95</v>
      </c>
      <c r="T5" s="705"/>
      <c r="U5" s="705"/>
    </row>
    <row r="6" spans="1:21">
      <c r="A6" s="710"/>
      <c r="B6" s="710"/>
      <c r="C6" s="710"/>
      <c r="D6" s="710"/>
      <c r="E6" s="710"/>
      <c r="F6" s="710"/>
      <c r="G6" s="710"/>
      <c r="H6" s="710"/>
      <c r="I6" s="710"/>
      <c r="J6" s="710"/>
      <c r="K6" s="711"/>
      <c r="L6" s="711"/>
      <c r="M6" s="711"/>
      <c r="N6" s="711"/>
      <c r="O6" s="711"/>
      <c r="P6" s="711"/>
      <c r="Q6" s="706"/>
      <c r="R6" s="706"/>
      <c r="S6" s="706"/>
      <c r="T6" s="706"/>
      <c r="U6" s="32"/>
    </row>
    <row r="7" spans="1:21">
      <c r="A7" s="707"/>
      <c r="B7" s="707"/>
      <c r="C7" s="707"/>
      <c r="D7" s="707"/>
      <c r="E7" s="707"/>
      <c r="F7" s="707"/>
      <c r="G7" s="707"/>
      <c r="H7" s="707"/>
      <c r="I7" s="707"/>
      <c r="J7" s="707"/>
      <c r="K7" s="708"/>
      <c r="L7" s="708"/>
      <c r="M7" s="708"/>
      <c r="N7" s="708"/>
      <c r="O7" s="708"/>
      <c r="P7" s="708"/>
      <c r="Q7" s="709"/>
      <c r="R7" s="709"/>
      <c r="S7" s="709"/>
      <c r="T7" s="709"/>
      <c r="U7" s="32"/>
    </row>
    <row r="8" spans="1:21">
      <c r="A8" s="712"/>
      <c r="B8" s="712"/>
      <c r="C8" s="712"/>
      <c r="D8" s="712"/>
      <c r="E8" s="712"/>
      <c r="F8" s="712"/>
      <c r="G8" s="712"/>
      <c r="H8" s="712"/>
      <c r="I8" s="712"/>
      <c r="J8" s="712"/>
      <c r="K8" s="708"/>
      <c r="L8" s="708"/>
      <c r="M8" s="708"/>
      <c r="N8" s="708"/>
      <c r="O8" s="708"/>
      <c r="P8" s="708"/>
      <c r="Q8" s="709"/>
      <c r="R8" s="709"/>
      <c r="S8" s="709"/>
      <c r="T8" s="709"/>
      <c r="U8" s="32"/>
    </row>
    <row r="9" spans="1:21">
      <c r="A9" s="707"/>
      <c r="B9" s="707"/>
      <c r="C9" s="707"/>
      <c r="D9" s="707"/>
      <c r="E9" s="707"/>
      <c r="F9" s="707"/>
      <c r="G9" s="707"/>
      <c r="H9" s="707"/>
      <c r="I9" s="707"/>
      <c r="J9" s="707"/>
      <c r="K9" s="708"/>
      <c r="L9" s="708"/>
      <c r="M9" s="708"/>
      <c r="N9" s="708"/>
      <c r="O9" s="708"/>
      <c r="P9" s="708"/>
      <c r="Q9" s="709"/>
      <c r="R9" s="709"/>
      <c r="S9" s="709"/>
      <c r="T9" s="709"/>
      <c r="U9" s="32"/>
    </row>
    <row r="10" spans="1:21">
      <c r="A10" s="707"/>
      <c r="B10" s="707"/>
      <c r="C10" s="707"/>
      <c r="D10" s="707"/>
      <c r="E10" s="707"/>
      <c r="F10" s="707"/>
      <c r="G10" s="707"/>
      <c r="H10" s="707"/>
      <c r="I10" s="707"/>
      <c r="J10" s="707"/>
      <c r="K10" s="708"/>
      <c r="L10" s="708"/>
      <c r="M10" s="708"/>
      <c r="N10" s="708"/>
      <c r="O10" s="708"/>
      <c r="P10" s="708"/>
      <c r="Q10" s="709"/>
      <c r="R10" s="709"/>
      <c r="S10" s="709"/>
      <c r="T10" s="709"/>
      <c r="U10" s="32"/>
    </row>
    <row r="11" spans="1:21">
      <c r="A11" s="707"/>
      <c r="B11" s="707"/>
      <c r="C11" s="707"/>
      <c r="D11" s="707"/>
      <c r="E11" s="707"/>
      <c r="F11" s="707"/>
      <c r="G11" s="707"/>
      <c r="H11" s="707"/>
      <c r="I11" s="707"/>
      <c r="J11" s="707"/>
      <c r="K11" s="708"/>
      <c r="L11" s="708"/>
      <c r="M11" s="708"/>
      <c r="N11" s="708"/>
      <c r="O11" s="708"/>
      <c r="P11" s="708"/>
      <c r="Q11" s="709"/>
      <c r="R11" s="709"/>
      <c r="S11" s="709"/>
      <c r="T11" s="709"/>
      <c r="U11" s="32"/>
    </row>
    <row r="12" spans="1:21">
      <c r="A12" s="712"/>
      <c r="B12" s="712"/>
      <c r="C12" s="712"/>
      <c r="D12" s="712"/>
      <c r="E12" s="712"/>
      <c r="F12" s="712"/>
      <c r="G12" s="712"/>
      <c r="H12" s="712"/>
      <c r="I12" s="712"/>
      <c r="J12" s="712"/>
      <c r="K12" s="708"/>
      <c r="L12" s="708"/>
      <c r="M12" s="708"/>
      <c r="N12" s="708"/>
      <c r="O12" s="708"/>
      <c r="P12" s="708"/>
      <c r="Q12" s="709"/>
      <c r="R12" s="709"/>
      <c r="S12" s="709"/>
      <c r="T12" s="709"/>
      <c r="U12" s="32"/>
    </row>
    <row r="13" spans="1:21">
      <c r="A13" s="712"/>
      <c r="B13" s="712"/>
      <c r="C13" s="712"/>
      <c r="D13" s="712"/>
      <c r="E13" s="712"/>
      <c r="F13" s="712"/>
      <c r="G13" s="712"/>
      <c r="H13" s="712"/>
      <c r="I13" s="712"/>
      <c r="J13" s="712"/>
      <c r="K13" s="708"/>
      <c r="L13" s="708"/>
      <c r="M13" s="708"/>
      <c r="N13" s="708"/>
      <c r="O13" s="708"/>
      <c r="P13" s="708"/>
      <c r="Q13" s="709"/>
      <c r="R13" s="709"/>
      <c r="S13" s="709"/>
      <c r="T13" s="709"/>
      <c r="U13" s="32"/>
    </row>
    <row r="14" spans="1:21">
      <c r="A14" s="707"/>
      <c r="B14" s="707"/>
      <c r="C14" s="707"/>
      <c r="D14" s="707"/>
      <c r="E14" s="707"/>
      <c r="F14" s="707"/>
      <c r="G14" s="707"/>
      <c r="H14" s="707"/>
      <c r="I14" s="707"/>
      <c r="J14" s="707"/>
      <c r="K14" s="708"/>
      <c r="L14" s="708"/>
      <c r="M14" s="708"/>
      <c r="N14" s="708"/>
      <c r="O14" s="708"/>
      <c r="P14" s="708"/>
      <c r="Q14" s="709"/>
      <c r="R14" s="709"/>
      <c r="S14" s="709"/>
      <c r="T14" s="709"/>
      <c r="U14" s="32"/>
    </row>
    <row r="15" spans="1:21">
      <c r="A15" s="713" t="s">
        <v>96</v>
      </c>
      <c r="B15" s="713"/>
      <c r="C15" s="713"/>
      <c r="D15" s="713"/>
      <c r="E15" s="713"/>
      <c r="F15" s="713"/>
      <c r="G15" s="713"/>
      <c r="H15" s="713"/>
      <c r="I15" s="713"/>
      <c r="J15" s="713"/>
      <c r="K15" s="714">
        <v>0.15509999999999999</v>
      </c>
      <c r="L15" s="714"/>
      <c r="M15" s="715"/>
      <c r="N15" s="715"/>
      <c r="O15" s="715"/>
      <c r="P15" s="715"/>
      <c r="Q15" s="716"/>
      <c r="R15" s="716"/>
      <c r="S15" s="716"/>
      <c r="T15" s="716"/>
      <c r="U15" s="32">
        <f>TRUNC(K15*U22,2)</f>
        <v>17.649999999999999</v>
      </c>
    </row>
    <row r="16" spans="1:21">
      <c r="A16" s="720"/>
      <c r="B16" s="720"/>
      <c r="C16" s="720"/>
      <c r="D16" s="720"/>
      <c r="E16" s="720"/>
      <c r="F16" s="720"/>
      <c r="G16" s="720"/>
      <c r="H16" s="720"/>
      <c r="I16" s="720"/>
      <c r="J16" s="720"/>
      <c r="K16" s="720"/>
      <c r="L16" s="720"/>
      <c r="M16" s="720"/>
      <c r="N16" s="720"/>
      <c r="O16" s="720"/>
      <c r="P16" s="720"/>
      <c r="Q16" s="720"/>
      <c r="R16" s="721" t="s">
        <v>97</v>
      </c>
      <c r="S16" s="721"/>
      <c r="T16" s="721"/>
      <c r="U16" s="33">
        <f>SUM(U6:U15)</f>
        <v>17.649999999999999</v>
      </c>
    </row>
    <row r="17" spans="1:21" ht="24" customHeight="1">
      <c r="A17" s="704" t="s">
        <v>98</v>
      </c>
      <c r="B17" s="704"/>
      <c r="C17" s="704"/>
      <c r="D17" s="704"/>
      <c r="E17" s="704"/>
      <c r="F17" s="704"/>
      <c r="G17" s="704"/>
      <c r="H17" s="704"/>
      <c r="I17" s="704"/>
      <c r="J17" s="704"/>
      <c r="K17" s="704"/>
      <c r="L17" s="704"/>
      <c r="M17" s="704"/>
      <c r="N17" s="704"/>
      <c r="O17" s="705" t="s">
        <v>99</v>
      </c>
      <c r="P17" s="705"/>
      <c r="Q17" s="705"/>
      <c r="R17" s="705" t="s">
        <v>100</v>
      </c>
      <c r="S17" s="705"/>
      <c r="T17" s="705"/>
      <c r="U17" s="34" t="s">
        <v>93</v>
      </c>
    </row>
    <row r="18" spans="1:21" ht="12.75" customHeight="1">
      <c r="A18" s="722" t="s">
        <v>101</v>
      </c>
      <c r="B18" s="722"/>
      <c r="C18" s="722"/>
      <c r="D18" s="722"/>
      <c r="E18" s="722"/>
      <c r="F18" s="722"/>
      <c r="G18" s="722"/>
      <c r="H18" s="722"/>
      <c r="I18" s="722"/>
      <c r="J18" s="722"/>
      <c r="K18" s="722"/>
      <c r="L18" s="722"/>
      <c r="M18" s="722"/>
      <c r="N18" s="722"/>
      <c r="O18" s="723">
        <v>5.92</v>
      </c>
      <c r="P18" s="723"/>
      <c r="Q18" s="723"/>
      <c r="R18" s="724">
        <v>19.23</v>
      </c>
      <c r="S18" s="724"/>
      <c r="T18" s="724"/>
      <c r="U18" s="35">
        <f>ROUND(R18*O18,2)</f>
        <v>113.84</v>
      </c>
    </row>
    <row r="19" spans="1:21">
      <c r="A19" s="717"/>
      <c r="B19" s="717"/>
      <c r="C19" s="717"/>
      <c r="D19" s="717"/>
      <c r="E19" s="717"/>
      <c r="F19" s="717"/>
      <c r="G19" s="717"/>
      <c r="H19" s="717"/>
      <c r="I19" s="717"/>
      <c r="J19" s="717"/>
      <c r="K19" s="717"/>
      <c r="L19" s="717"/>
      <c r="M19" s="717"/>
      <c r="N19" s="717"/>
      <c r="O19" s="718"/>
      <c r="P19" s="718"/>
      <c r="Q19" s="718"/>
      <c r="R19" s="719"/>
      <c r="S19" s="719"/>
      <c r="T19" s="719"/>
      <c r="U19" s="36"/>
    </row>
    <row r="20" spans="1:21">
      <c r="A20" s="717"/>
      <c r="B20" s="717"/>
      <c r="C20" s="717"/>
      <c r="D20" s="717"/>
      <c r="E20" s="717"/>
      <c r="F20" s="717"/>
      <c r="G20" s="717"/>
      <c r="H20" s="717"/>
      <c r="I20" s="717"/>
      <c r="J20" s="717"/>
      <c r="K20" s="717"/>
      <c r="L20" s="717"/>
      <c r="M20" s="717"/>
      <c r="N20" s="717"/>
      <c r="O20" s="718"/>
      <c r="P20" s="718"/>
      <c r="Q20" s="718"/>
      <c r="R20" s="719"/>
      <c r="S20" s="719"/>
      <c r="T20" s="719"/>
      <c r="U20" s="35"/>
    </row>
    <row r="21" spans="1:21">
      <c r="A21" s="726"/>
      <c r="B21" s="726"/>
      <c r="C21" s="726"/>
      <c r="D21" s="726"/>
      <c r="E21" s="726"/>
      <c r="F21" s="726"/>
      <c r="G21" s="726"/>
      <c r="H21" s="726"/>
      <c r="I21" s="726"/>
      <c r="J21" s="726"/>
      <c r="K21" s="726"/>
      <c r="L21" s="726"/>
      <c r="M21" s="726"/>
      <c r="N21" s="726"/>
      <c r="O21" s="727"/>
      <c r="P21" s="727"/>
      <c r="Q21" s="727"/>
      <c r="R21" s="728"/>
      <c r="S21" s="728"/>
      <c r="T21" s="728"/>
      <c r="U21" s="37"/>
    </row>
    <row r="22" spans="1:21">
      <c r="A22" s="720"/>
      <c r="B22" s="720"/>
      <c r="C22" s="720"/>
      <c r="D22" s="720"/>
      <c r="E22" s="720"/>
      <c r="F22" s="720"/>
      <c r="G22" s="720"/>
      <c r="H22" s="720"/>
      <c r="I22" s="720"/>
      <c r="J22" s="720"/>
      <c r="K22" s="720"/>
      <c r="L22" s="720"/>
      <c r="M22" s="720"/>
      <c r="N22" s="720"/>
      <c r="O22" s="720"/>
      <c r="P22" s="720"/>
      <c r="Q22" s="720"/>
      <c r="R22" s="721" t="s">
        <v>102</v>
      </c>
      <c r="S22" s="721"/>
      <c r="T22" s="721"/>
      <c r="U22" s="38">
        <f>SUM(U18:U21)</f>
        <v>113.84</v>
      </c>
    </row>
    <row r="23" spans="1:21">
      <c r="A23" s="729" t="s">
        <v>103</v>
      </c>
      <c r="B23" s="729"/>
      <c r="C23" s="729"/>
      <c r="D23" s="729"/>
      <c r="E23" s="729"/>
      <c r="F23" s="729"/>
      <c r="G23" s="729"/>
      <c r="H23" s="729"/>
      <c r="I23" s="730"/>
      <c r="J23" s="731">
        <v>1</v>
      </c>
      <c r="K23" s="732"/>
      <c r="L23" s="732"/>
      <c r="M23" s="733" t="s">
        <v>104</v>
      </c>
      <c r="N23" s="733"/>
      <c r="O23" s="733"/>
      <c r="P23" s="733"/>
      <c r="Q23" s="733"/>
      <c r="R23" s="733"/>
      <c r="S23" s="733"/>
      <c r="T23" s="733"/>
      <c r="U23" s="38">
        <f>SUM(U16,U22)</f>
        <v>131.49</v>
      </c>
    </row>
    <row r="24" spans="1:21">
      <c r="A24" s="725"/>
      <c r="B24" s="725"/>
      <c r="C24" s="725"/>
      <c r="D24" s="725" t="s">
        <v>105</v>
      </c>
      <c r="E24" s="725"/>
      <c r="F24" s="725"/>
      <c r="G24" s="725"/>
      <c r="H24" s="725"/>
      <c r="I24" s="725"/>
      <c r="J24" s="725"/>
      <c r="K24" s="725"/>
      <c r="L24" s="725"/>
      <c r="M24" s="725"/>
      <c r="N24" s="725"/>
      <c r="O24" s="725"/>
      <c r="P24" s="725"/>
      <c r="Q24" s="725"/>
      <c r="R24" s="725"/>
      <c r="S24" s="725"/>
      <c r="T24" s="725"/>
      <c r="U24" s="38">
        <f>U23/J23</f>
        <v>131.49</v>
      </c>
    </row>
    <row r="25" spans="1:21" ht="24" customHeight="1">
      <c r="A25" s="704" t="s">
        <v>106</v>
      </c>
      <c r="B25" s="704"/>
      <c r="C25" s="704"/>
      <c r="D25" s="704"/>
      <c r="E25" s="704"/>
      <c r="F25" s="704"/>
      <c r="G25" s="704"/>
      <c r="H25" s="704"/>
      <c r="I25" s="704"/>
      <c r="J25" s="704"/>
      <c r="K25" s="704"/>
      <c r="L25" s="704"/>
      <c r="M25" s="705" t="s">
        <v>107</v>
      </c>
      <c r="N25" s="705"/>
      <c r="O25" s="705" t="s">
        <v>108</v>
      </c>
      <c r="P25" s="705"/>
      <c r="Q25" s="705"/>
      <c r="R25" s="705" t="s">
        <v>109</v>
      </c>
      <c r="S25" s="705"/>
      <c r="T25" s="705"/>
      <c r="U25" s="34" t="s">
        <v>110</v>
      </c>
    </row>
    <row r="26" spans="1:21">
      <c r="A26" s="712" t="s">
        <v>523</v>
      </c>
      <c r="B26" s="712"/>
      <c r="C26" s="712"/>
      <c r="D26" s="712"/>
      <c r="E26" s="712"/>
      <c r="F26" s="712"/>
      <c r="G26" s="712"/>
      <c r="H26" s="712"/>
      <c r="I26" s="712"/>
      <c r="J26" s="712"/>
      <c r="K26" s="712"/>
      <c r="L26" s="712"/>
      <c r="M26" s="708" t="s">
        <v>111</v>
      </c>
      <c r="N26" s="708"/>
      <c r="O26" s="723">
        <v>9.5399999999999991</v>
      </c>
      <c r="P26" s="723"/>
      <c r="Q26" s="723"/>
      <c r="R26" s="724">
        <v>110.49</v>
      </c>
      <c r="S26" s="724"/>
      <c r="T26" s="724"/>
      <c r="U26" s="35">
        <f>TRUNC(R26*O26,2)</f>
        <v>1054.07</v>
      </c>
    </row>
    <row r="27" spans="1:21" ht="36.75" customHeight="1">
      <c r="A27" s="734" t="s">
        <v>520</v>
      </c>
      <c r="B27" s="734"/>
      <c r="C27" s="734"/>
      <c r="D27" s="734"/>
      <c r="E27" s="734"/>
      <c r="F27" s="734"/>
      <c r="G27" s="734"/>
      <c r="H27" s="734"/>
      <c r="I27" s="734"/>
      <c r="J27" s="734"/>
      <c r="K27" s="734"/>
      <c r="L27" s="734"/>
      <c r="M27" s="735" t="s">
        <v>111</v>
      </c>
      <c r="N27" s="735"/>
      <c r="O27" s="739">
        <v>4.13</v>
      </c>
      <c r="P27" s="739"/>
      <c r="Q27" s="739"/>
      <c r="R27" s="737">
        <v>67.459999999999994</v>
      </c>
      <c r="S27" s="737"/>
      <c r="T27" s="737"/>
      <c r="U27" s="364">
        <f>TRUNC(R27*O27,2)</f>
        <v>278.60000000000002</v>
      </c>
    </row>
    <row r="28" spans="1:21" ht="27" customHeight="1">
      <c r="A28" s="734" t="s">
        <v>519</v>
      </c>
      <c r="B28" s="734"/>
      <c r="C28" s="734"/>
      <c r="D28" s="734"/>
      <c r="E28" s="734"/>
      <c r="F28" s="734"/>
      <c r="G28" s="734"/>
      <c r="H28" s="734"/>
      <c r="I28" s="734"/>
      <c r="J28" s="734"/>
      <c r="K28" s="734"/>
      <c r="L28" s="734"/>
      <c r="M28" s="735" t="s">
        <v>112</v>
      </c>
      <c r="N28" s="735"/>
      <c r="O28" s="736">
        <v>0.83</v>
      </c>
      <c r="P28" s="736"/>
      <c r="Q28" s="736"/>
      <c r="R28" s="737">
        <v>464.41</v>
      </c>
      <c r="S28" s="737"/>
      <c r="T28" s="737"/>
      <c r="U28" s="364">
        <f>TRUNC(O28*R28,2)</f>
        <v>385.46</v>
      </c>
    </row>
    <row r="29" spans="1:21" ht="24.75" customHeight="1">
      <c r="A29" s="738" t="s">
        <v>521</v>
      </c>
      <c r="B29" s="738"/>
      <c r="C29" s="738"/>
      <c r="D29" s="738"/>
      <c r="E29" s="738"/>
      <c r="F29" s="738"/>
      <c r="G29" s="738"/>
      <c r="H29" s="738"/>
      <c r="I29" s="738"/>
      <c r="J29" s="738"/>
      <c r="K29" s="738"/>
      <c r="L29" s="738"/>
      <c r="M29" s="735" t="s">
        <v>113</v>
      </c>
      <c r="N29" s="735"/>
      <c r="O29" s="736">
        <v>21.06</v>
      </c>
      <c r="P29" s="736"/>
      <c r="Q29" s="736"/>
      <c r="R29" s="737">
        <v>14.99</v>
      </c>
      <c r="S29" s="737"/>
      <c r="T29" s="737"/>
      <c r="U29" s="364">
        <f>TRUNC(O29*R29,2)</f>
        <v>315.68</v>
      </c>
    </row>
    <row r="30" spans="1:21" ht="28.5" customHeight="1">
      <c r="A30" s="740" t="s">
        <v>522</v>
      </c>
      <c r="B30" s="741"/>
      <c r="C30" s="741"/>
      <c r="D30" s="741"/>
      <c r="E30" s="741"/>
      <c r="F30" s="741"/>
      <c r="G30" s="741"/>
      <c r="H30" s="741"/>
      <c r="I30" s="741"/>
      <c r="J30" s="741"/>
      <c r="K30" s="741"/>
      <c r="L30" s="742"/>
      <c r="M30" s="743" t="s">
        <v>112</v>
      </c>
      <c r="N30" s="744"/>
      <c r="O30" s="745">
        <v>0.24</v>
      </c>
      <c r="P30" s="746"/>
      <c r="Q30" s="747"/>
      <c r="R30" s="737">
        <v>465.18</v>
      </c>
      <c r="S30" s="737"/>
      <c r="T30" s="737"/>
      <c r="U30" s="364">
        <f>TRUNC(O30*R30,2)</f>
        <v>111.64</v>
      </c>
    </row>
    <row r="31" spans="1:21">
      <c r="A31" s="748"/>
      <c r="B31" s="748"/>
      <c r="C31" s="748"/>
      <c r="D31" s="748"/>
      <c r="E31" s="748"/>
      <c r="F31" s="748"/>
      <c r="G31" s="748"/>
      <c r="H31" s="748"/>
      <c r="I31" s="748"/>
      <c r="J31" s="748"/>
      <c r="K31" s="748"/>
      <c r="L31" s="748"/>
      <c r="M31" s="715"/>
      <c r="N31" s="715"/>
      <c r="O31" s="727"/>
      <c r="P31" s="727"/>
      <c r="Q31" s="727"/>
      <c r="R31" s="728"/>
      <c r="S31" s="728"/>
      <c r="T31" s="728"/>
      <c r="U31" s="39"/>
    </row>
    <row r="32" spans="1:21">
      <c r="A32" s="720"/>
      <c r="B32" s="720"/>
      <c r="C32" s="720"/>
      <c r="D32" s="720"/>
      <c r="E32" s="720"/>
      <c r="F32" s="720"/>
      <c r="G32" s="720"/>
      <c r="H32" s="720"/>
      <c r="I32" s="720"/>
      <c r="J32" s="720"/>
      <c r="K32" s="720"/>
      <c r="L32" s="720"/>
      <c r="M32" s="720"/>
      <c r="N32" s="720"/>
      <c r="O32" s="720"/>
      <c r="P32" s="720"/>
      <c r="Q32" s="720"/>
      <c r="R32" s="721" t="s">
        <v>114</v>
      </c>
      <c r="S32" s="721"/>
      <c r="T32" s="721"/>
      <c r="U32" s="38">
        <f>SUM(U26:U31)</f>
        <v>2145.4500000000003</v>
      </c>
    </row>
    <row r="33" spans="1:21" ht="12.75" customHeight="1">
      <c r="A33" s="704" t="s">
        <v>115</v>
      </c>
      <c r="B33" s="704"/>
      <c r="C33" s="704"/>
      <c r="D33" s="704"/>
      <c r="E33" s="704"/>
      <c r="F33" s="704"/>
      <c r="G33" s="704"/>
      <c r="H33" s="704"/>
      <c r="I33" s="725" t="s">
        <v>116</v>
      </c>
      <c r="J33" s="725"/>
      <c r="K33" s="725"/>
      <c r="L33" s="725"/>
      <c r="M33" s="725"/>
      <c r="N33" s="725"/>
      <c r="O33" s="705" t="s">
        <v>117</v>
      </c>
      <c r="P33" s="705"/>
      <c r="Q33" s="705"/>
      <c r="R33" s="705" t="s">
        <v>109</v>
      </c>
      <c r="S33" s="705"/>
      <c r="T33" s="705"/>
      <c r="U33" s="705" t="s">
        <v>110</v>
      </c>
    </row>
    <row r="34" spans="1:21">
      <c r="A34" s="704"/>
      <c r="B34" s="704"/>
      <c r="C34" s="704"/>
      <c r="D34" s="704"/>
      <c r="E34" s="704"/>
      <c r="F34" s="704"/>
      <c r="G34" s="704"/>
      <c r="H34" s="704"/>
      <c r="I34" s="725" t="s">
        <v>118</v>
      </c>
      <c r="J34" s="725"/>
      <c r="K34" s="725" t="s">
        <v>119</v>
      </c>
      <c r="L34" s="725"/>
      <c r="M34" s="725" t="s">
        <v>120</v>
      </c>
      <c r="N34" s="725"/>
      <c r="O34" s="705"/>
      <c r="P34" s="705"/>
      <c r="Q34" s="705"/>
      <c r="R34" s="705"/>
      <c r="S34" s="705"/>
      <c r="T34" s="705"/>
      <c r="U34" s="705"/>
    </row>
    <row r="35" spans="1:21">
      <c r="A35" s="749"/>
      <c r="B35" s="749"/>
      <c r="C35" s="749"/>
      <c r="D35" s="749"/>
      <c r="E35" s="749"/>
      <c r="F35" s="749"/>
      <c r="G35" s="749"/>
      <c r="H35" s="749"/>
      <c r="I35" s="750"/>
      <c r="J35" s="750"/>
      <c r="K35" s="750"/>
      <c r="L35" s="750"/>
      <c r="M35" s="750"/>
      <c r="N35" s="750"/>
      <c r="O35" s="751"/>
      <c r="P35" s="751"/>
      <c r="Q35" s="751"/>
      <c r="R35" s="752"/>
      <c r="S35" s="752"/>
      <c r="T35" s="752"/>
      <c r="U35" s="40">
        <f>INT((M35*O35*R35)*100)/100</f>
        <v>0</v>
      </c>
    </row>
    <row r="36" spans="1:21">
      <c r="A36" s="753"/>
      <c r="B36" s="753"/>
      <c r="C36" s="753"/>
      <c r="D36" s="753"/>
      <c r="E36" s="753"/>
      <c r="F36" s="753"/>
      <c r="G36" s="753"/>
      <c r="H36" s="753"/>
      <c r="I36" s="754"/>
      <c r="J36" s="754"/>
      <c r="K36" s="754"/>
      <c r="L36" s="754"/>
      <c r="M36" s="754"/>
      <c r="N36" s="754"/>
      <c r="O36" s="755"/>
      <c r="P36" s="755"/>
      <c r="Q36" s="755"/>
      <c r="R36" s="756"/>
      <c r="S36" s="756"/>
      <c r="T36" s="756"/>
      <c r="U36" s="41">
        <f>INT((M36*O36*R36)*100)/100</f>
        <v>0</v>
      </c>
    </row>
    <row r="37" spans="1:21">
      <c r="A37" s="753"/>
      <c r="B37" s="753"/>
      <c r="C37" s="753"/>
      <c r="D37" s="753"/>
      <c r="E37" s="753"/>
      <c r="F37" s="753"/>
      <c r="G37" s="753"/>
      <c r="H37" s="753"/>
      <c r="I37" s="754"/>
      <c r="J37" s="754"/>
      <c r="K37" s="754"/>
      <c r="L37" s="754"/>
      <c r="M37" s="754">
        <f>SUM(I37:L37)</f>
        <v>0</v>
      </c>
      <c r="N37" s="754"/>
      <c r="O37" s="755"/>
      <c r="P37" s="755"/>
      <c r="Q37" s="755"/>
      <c r="R37" s="756"/>
      <c r="S37" s="756"/>
      <c r="T37" s="756"/>
      <c r="U37" s="41">
        <f>INT((M37*O37*R37)*100)/100</f>
        <v>0</v>
      </c>
    </row>
    <row r="38" spans="1:21">
      <c r="A38" s="760"/>
      <c r="B38" s="760"/>
      <c r="C38" s="760"/>
      <c r="D38" s="760"/>
      <c r="E38" s="760"/>
      <c r="F38" s="760"/>
      <c r="G38" s="760"/>
      <c r="H38" s="760"/>
      <c r="I38" s="761"/>
      <c r="J38" s="761"/>
      <c r="K38" s="761"/>
      <c r="L38" s="761"/>
      <c r="M38" s="761">
        <f>SUM(I38:L38)</f>
        <v>0</v>
      </c>
      <c r="N38" s="761"/>
      <c r="O38" s="762"/>
      <c r="P38" s="762"/>
      <c r="Q38" s="762"/>
      <c r="R38" s="763"/>
      <c r="S38" s="763"/>
      <c r="T38" s="763"/>
      <c r="U38" s="42">
        <f>INT((M38*O38*R38)*100)/100</f>
        <v>0</v>
      </c>
    </row>
    <row r="39" spans="1:21">
      <c r="A39" s="720"/>
      <c r="B39" s="720"/>
      <c r="C39" s="720"/>
      <c r="D39" s="720"/>
      <c r="E39" s="720"/>
      <c r="F39" s="720"/>
      <c r="G39" s="720"/>
      <c r="H39" s="720"/>
      <c r="I39" s="720"/>
      <c r="J39" s="720"/>
      <c r="K39" s="720"/>
      <c r="L39" s="720"/>
      <c r="M39" s="720"/>
      <c r="N39" s="720"/>
      <c r="O39" s="720"/>
      <c r="P39" s="720"/>
      <c r="Q39" s="720"/>
      <c r="R39" s="721" t="s">
        <v>121</v>
      </c>
      <c r="S39" s="721"/>
      <c r="T39" s="721"/>
      <c r="U39" s="43">
        <f>SUM(U35:U38)</f>
        <v>0</v>
      </c>
    </row>
    <row r="40" spans="1:21">
      <c r="A40" s="720"/>
      <c r="B40" s="720"/>
      <c r="C40" s="720"/>
      <c r="D40" s="720"/>
      <c r="E40" s="720"/>
      <c r="F40" s="720"/>
      <c r="G40" s="720"/>
      <c r="H40" s="720"/>
      <c r="I40" s="720"/>
      <c r="J40" s="720"/>
      <c r="K40" s="720"/>
      <c r="L40" s="720"/>
      <c r="M40" s="720"/>
      <c r="N40" s="720"/>
      <c r="O40" s="720"/>
      <c r="P40" s="720"/>
      <c r="Q40" s="720"/>
      <c r="R40" s="720"/>
      <c r="S40" s="720"/>
      <c r="T40" s="720"/>
      <c r="U40" s="720"/>
    </row>
    <row r="41" spans="1:21">
      <c r="A41" s="757" t="s">
        <v>122</v>
      </c>
      <c r="B41" s="757"/>
      <c r="C41" s="757"/>
      <c r="D41" s="757"/>
      <c r="E41" s="757"/>
      <c r="F41" s="757"/>
      <c r="G41" s="757"/>
      <c r="H41" s="757"/>
      <c r="I41" s="757"/>
      <c r="J41" s="757"/>
      <c r="K41" s="757"/>
      <c r="L41" s="757"/>
      <c r="M41" s="757"/>
      <c r="N41" s="757"/>
      <c r="O41" s="757"/>
      <c r="P41" s="757"/>
      <c r="Q41" s="757"/>
      <c r="R41" s="757"/>
      <c r="S41" s="757"/>
      <c r="T41" s="757"/>
      <c r="U41" s="44">
        <f>SUM(U24,U32,U39)</f>
        <v>2276.9400000000005</v>
      </c>
    </row>
    <row r="42" spans="1:21">
      <c r="A42" s="45" t="s">
        <v>123</v>
      </c>
      <c r="B42" s="46"/>
      <c r="C42" s="46"/>
      <c r="D42" s="46"/>
      <c r="E42" s="46"/>
      <c r="F42" s="46"/>
      <c r="G42" s="46"/>
      <c r="H42" s="47" t="s">
        <v>124</v>
      </c>
      <c r="I42" s="758">
        <v>0</v>
      </c>
      <c r="J42" s="758"/>
      <c r="K42" s="46" t="s">
        <v>125</v>
      </c>
      <c r="L42" s="46"/>
      <c r="M42" s="46"/>
      <c r="N42" s="46"/>
      <c r="O42" s="46"/>
      <c r="P42" s="46"/>
      <c r="Q42" s="46"/>
      <c r="R42" s="46"/>
      <c r="S42" s="46"/>
      <c r="T42" s="46"/>
      <c r="U42" s="48">
        <f>TRUNC((U41*I42),2)</f>
        <v>0</v>
      </c>
    </row>
    <row r="43" spans="1:21" ht="14.25">
      <c r="A43" s="759" t="s">
        <v>126</v>
      </c>
      <c r="B43" s="759"/>
      <c r="C43" s="759"/>
      <c r="D43" s="759"/>
      <c r="E43" s="759"/>
      <c r="F43" s="759"/>
      <c r="G43" s="759"/>
      <c r="H43" s="759"/>
      <c r="I43" s="759"/>
      <c r="J43" s="759"/>
      <c r="K43" s="759"/>
      <c r="L43" s="759"/>
      <c r="M43" s="759"/>
      <c r="N43" s="759"/>
      <c r="O43" s="759"/>
      <c r="P43" s="759"/>
      <c r="Q43" s="759"/>
      <c r="R43" s="759"/>
      <c r="S43" s="759"/>
      <c r="T43" s="759"/>
      <c r="U43" s="48">
        <f>TRUNC((U42+U41),2)</f>
        <v>2276.94</v>
      </c>
    </row>
  </sheetData>
  <mergeCells count="166">
    <mergeCell ref="A39:Q39"/>
    <mergeCell ref="R39:T39"/>
    <mergeCell ref="A40:U40"/>
    <mergeCell ref="A41:T41"/>
    <mergeCell ref="I42:J42"/>
    <mergeCell ref="A43:T43"/>
    <mergeCell ref="A38:H38"/>
    <mergeCell ref="I38:J38"/>
    <mergeCell ref="K38:L38"/>
    <mergeCell ref="M38:N38"/>
    <mergeCell ref="O38:Q38"/>
    <mergeCell ref="R38:T38"/>
    <mergeCell ref="A37:H37"/>
    <mergeCell ref="I37:J37"/>
    <mergeCell ref="K37:L37"/>
    <mergeCell ref="M37:N37"/>
    <mergeCell ref="O37:Q37"/>
    <mergeCell ref="R37:T37"/>
    <mergeCell ref="A36:H36"/>
    <mergeCell ref="I36:J36"/>
    <mergeCell ref="K36:L36"/>
    <mergeCell ref="M36:N36"/>
    <mergeCell ref="O36:Q36"/>
    <mergeCell ref="R36:T36"/>
    <mergeCell ref="U33:U34"/>
    <mergeCell ref="I34:J34"/>
    <mergeCell ref="K34:L34"/>
    <mergeCell ref="M34:N34"/>
    <mergeCell ref="A35:H35"/>
    <mergeCell ref="I35:J35"/>
    <mergeCell ref="K35:L35"/>
    <mergeCell ref="M35:N35"/>
    <mergeCell ref="O35:Q35"/>
    <mergeCell ref="R35:T35"/>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15:J15"/>
    <mergeCell ref="K15:L15"/>
    <mergeCell ref="M15:N15"/>
    <mergeCell ref="O15:P15"/>
    <mergeCell ref="Q15:R15"/>
    <mergeCell ref="S15:T15"/>
    <mergeCell ref="A14:J14"/>
    <mergeCell ref="K14:L14"/>
    <mergeCell ref="M14:N14"/>
    <mergeCell ref="O14:P14"/>
    <mergeCell ref="Q14:R14"/>
    <mergeCell ref="S14:T14"/>
    <mergeCell ref="A13:J13"/>
    <mergeCell ref="K13:L13"/>
    <mergeCell ref="M13:N13"/>
    <mergeCell ref="O13:P13"/>
    <mergeCell ref="Q13:R13"/>
    <mergeCell ref="S13:T13"/>
    <mergeCell ref="A12:J12"/>
    <mergeCell ref="K12:L12"/>
    <mergeCell ref="M12:N12"/>
    <mergeCell ref="O12:P12"/>
    <mergeCell ref="Q12:R12"/>
    <mergeCell ref="S12:T12"/>
    <mergeCell ref="A11:J11"/>
    <mergeCell ref="K11:L11"/>
    <mergeCell ref="M11:N11"/>
    <mergeCell ref="O11:P11"/>
    <mergeCell ref="Q11:R11"/>
    <mergeCell ref="S11:T11"/>
    <mergeCell ref="A10:J10"/>
    <mergeCell ref="K10:L10"/>
    <mergeCell ref="M10:N10"/>
    <mergeCell ref="O10:P10"/>
    <mergeCell ref="Q10:R10"/>
    <mergeCell ref="S10:T10"/>
    <mergeCell ref="A9:J9"/>
    <mergeCell ref="K9:L9"/>
    <mergeCell ref="M9:N9"/>
    <mergeCell ref="O9:P9"/>
    <mergeCell ref="Q9:R9"/>
    <mergeCell ref="S9:T9"/>
    <mergeCell ref="A8:J8"/>
    <mergeCell ref="K8:L8"/>
    <mergeCell ref="M8:N8"/>
    <mergeCell ref="O8:P8"/>
    <mergeCell ref="Q8:R8"/>
    <mergeCell ref="S8:T8"/>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1:T1"/>
    <mergeCell ref="A2:E2"/>
    <mergeCell ref="F2:T2"/>
    <mergeCell ref="A3:E3"/>
    <mergeCell ref="F3:T3"/>
    <mergeCell ref="A4:J5"/>
    <mergeCell ref="K4:L5"/>
    <mergeCell ref="M4:P4"/>
    <mergeCell ref="Q4:T4"/>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topLeftCell="A15" zoomScaleNormal="90" zoomScaleSheetLayoutView="100" workbookViewId="0">
      <selection activeCell="H48" sqref="H48:H49"/>
    </sheetView>
  </sheetViews>
  <sheetFormatPr defaultRowHeight="14.25" customHeight="1"/>
  <cols>
    <col min="1" max="1" width="13.7109375" style="283" customWidth="1"/>
    <col min="2" max="2" width="62.85546875" style="283" customWidth="1"/>
    <col min="3" max="3" width="12.7109375" style="283" customWidth="1"/>
    <col min="4" max="4" width="12.140625" style="302" customWidth="1"/>
    <col min="5" max="5" width="8" style="292" customWidth="1"/>
    <col min="6" max="6" width="11.140625" style="283" bestFit="1" customWidth="1"/>
    <col min="7" max="7" width="9.140625" style="292"/>
    <col min="8" max="8" width="16.28515625" style="302" customWidth="1"/>
    <col min="9" max="9" width="9.28515625" style="283" bestFit="1" customWidth="1"/>
    <col min="10" max="10" width="21.140625" style="302" customWidth="1"/>
    <col min="11" max="256" width="9.140625" style="283"/>
    <col min="257" max="257" width="13.7109375" style="283" customWidth="1"/>
    <col min="258" max="258" width="59" style="283" customWidth="1"/>
    <col min="259" max="259" width="12.7109375" style="283" customWidth="1"/>
    <col min="260" max="260" width="12.140625" style="283" customWidth="1"/>
    <col min="261" max="261" width="8" style="283" customWidth="1"/>
    <col min="262" max="262" width="11.140625" style="283" bestFit="1" customWidth="1"/>
    <col min="263" max="263" width="9.140625" style="283"/>
    <col min="264" max="264" width="12.85546875" style="283" customWidth="1"/>
    <col min="265" max="265" width="9.28515625" style="283" bestFit="1" customWidth="1"/>
    <col min="266" max="266" width="21.140625" style="283" customWidth="1"/>
    <col min="267" max="512" width="9.140625" style="283"/>
    <col min="513" max="513" width="13.7109375" style="283" customWidth="1"/>
    <col min="514" max="514" width="59" style="283" customWidth="1"/>
    <col min="515" max="515" width="12.7109375" style="283" customWidth="1"/>
    <col min="516" max="516" width="12.140625" style="283" customWidth="1"/>
    <col min="517" max="517" width="8" style="283" customWidth="1"/>
    <col min="518" max="518" width="11.140625" style="283" bestFit="1" customWidth="1"/>
    <col min="519" max="519" width="9.140625" style="283"/>
    <col min="520" max="520" width="12.85546875" style="283" customWidth="1"/>
    <col min="521" max="521" width="9.28515625" style="283" bestFit="1" customWidth="1"/>
    <col min="522" max="522" width="21.140625" style="283" customWidth="1"/>
    <col min="523" max="768" width="9.140625" style="283"/>
    <col min="769" max="769" width="13.7109375" style="283" customWidth="1"/>
    <col min="770" max="770" width="59" style="283" customWidth="1"/>
    <col min="771" max="771" width="12.7109375" style="283" customWidth="1"/>
    <col min="772" max="772" width="12.140625" style="283" customWidth="1"/>
    <col min="773" max="773" width="8" style="283" customWidth="1"/>
    <col min="774" max="774" width="11.140625" style="283" bestFit="1" customWidth="1"/>
    <col min="775" max="775" width="9.140625" style="283"/>
    <col min="776" max="776" width="12.85546875" style="283" customWidth="1"/>
    <col min="777" max="777" width="9.28515625" style="283" bestFit="1" customWidth="1"/>
    <col min="778" max="778" width="21.140625" style="283" customWidth="1"/>
    <col min="779" max="1024" width="9.140625" style="283"/>
    <col min="1025" max="1025" width="13.7109375" style="283" customWidth="1"/>
    <col min="1026" max="1026" width="59" style="283" customWidth="1"/>
    <col min="1027" max="1027" width="12.7109375" style="283" customWidth="1"/>
    <col min="1028" max="1028" width="12.140625" style="283" customWidth="1"/>
    <col min="1029" max="1029" width="8" style="283" customWidth="1"/>
    <col min="1030" max="1030" width="11.140625" style="283" bestFit="1" customWidth="1"/>
    <col min="1031" max="1031" width="9.140625" style="283"/>
    <col min="1032" max="1032" width="12.85546875" style="283" customWidth="1"/>
    <col min="1033" max="1033" width="9.28515625" style="283" bestFit="1" customWidth="1"/>
    <col min="1034" max="1034" width="21.140625" style="283" customWidth="1"/>
    <col min="1035" max="1280" width="9.140625" style="283"/>
    <col min="1281" max="1281" width="13.7109375" style="283" customWidth="1"/>
    <col min="1282" max="1282" width="59" style="283" customWidth="1"/>
    <col min="1283" max="1283" width="12.7109375" style="283" customWidth="1"/>
    <col min="1284" max="1284" width="12.140625" style="283" customWidth="1"/>
    <col min="1285" max="1285" width="8" style="283" customWidth="1"/>
    <col min="1286" max="1286" width="11.140625" style="283" bestFit="1" customWidth="1"/>
    <col min="1287" max="1287" width="9.140625" style="283"/>
    <col min="1288" max="1288" width="12.85546875" style="283" customWidth="1"/>
    <col min="1289" max="1289" width="9.28515625" style="283" bestFit="1" customWidth="1"/>
    <col min="1290" max="1290" width="21.140625" style="283" customWidth="1"/>
    <col min="1291" max="1536" width="9.140625" style="283"/>
    <col min="1537" max="1537" width="13.7109375" style="283" customWidth="1"/>
    <col min="1538" max="1538" width="59" style="283" customWidth="1"/>
    <col min="1539" max="1539" width="12.7109375" style="283" customWidth="1"/>
    <col min="1540" max="1540" width="12.140625" style="283" customWidth="1"/>
    <col min="1541" max="1541" width="8" style="283" customWidth="1"/>
    <col min="1542" max="1542" width="11.140625" style="283" bestFit="1" customWidth="1"/>
    <col min="1543" max="1543" width="9.140625" style="283"/>
    <col min="1544" max="1544" width="12.85546875" style="283" customWidth="1"/>
    <col min="1545" max="1545" width="9.28515625" style="283" bestFit="1" customWidth="1"/>
    <col min="1546" max="1546" width="21.140625" style="283" customWidth="1"/>
    <col min="1547" max="1792" width="9.140625" style="283"/>
    <col min="1793" max="1793" width="13.7109375" style="283" customWidth="1"/>
    <col min="1794" max="1794" width="59" style="283" customWidth="1"/>
    <col min="1795" max="1795" width="12.7109375" style="283" customWidth="1"/>
    <col min="1796" max="1796" width="12.140625" style="283" customWidth="1"/>
    <col min="1797" max="1797" width="8" style="283" customWidth="1"/>
    <col min="1798" max="1798" width="11.140625" style="283" bestFit="1" customWidth="1"/>
    <col min="1799" max="1799" width="9.140625" style="283"/>
    <col min="1800" max="1800" width="12.85546875" style="283" customWidth="1"/>
    <col min="1801" max="1801" width="9.28515625" style="283" bestFit="1" customWidth="1"/>
    <col min="1802" max="1802" width="21.140625" style="283" customWidth="1"/>
    <col min="1803" max="2048" width="9.140625" style="283"/>
    <col min="2049" max="2049" width="13.7109375" style="283" customWidth="1"/>
    <col min="2050" max="2050" width="59" style="283" customWidth="1"/>
    <col min="2051" max="2051" width="12.7109375" style="283" customWidth="1"/>
    <col min="2052" max="2052" width="12.140625" style="283" customWidth="1"/>
    <col min="2053" max="2053" width="8" style="283" customWidth="1"/>
    <col min="2054" max="2054" width="11.140625" style="283" bestFit="1" customWidth="1"/>
    <col min="2055" max="2055" width="9.140625" style="283"/>
    <col min="2056" max="2056" width="12.85546875" style="283" customWidth="1"/>
    <col min="2057" max="2057" width="9.28515625" style="283" bestFit="1" customWidth="1"/>
    <col min="2058" max="2058" width="21.140625" style="283" customWidth="1"/>
    <col min="2059" max="2304" width="9.140625" style="283"/>
    <col min="2305" max="2305" width="13.7109375" style="283" customWidth="1"/>
    <col min="2306" max="2306" width="59" style="283" customWidth="1"/>
    <col min="2307" max="2307" width="12.7109375" style="283" customWidth="1"/>
    <col min="2308" max="2308" width="12.140625" style="283" customWidth="1"/>
    <col min="2309" max="2309" width="8" style="283" customWidth="1"/>
    <col min="2310" max="2310" width="11.140625" style="283" bestFit="1" customWidth="1"/>
    <col min="2311" max="2311" width="9.140625" style="283"/>
    <col min="2312" max="2312" width="12.85546875" style="283" customWidth="1"/>
    <col min="2313" max="2313" width="9.28515625" style="283" bestFit="1" customWidth="1"/>
    <col min="2314" max="2314" width="21.140625" style="283" customWidth="1"/>
    <col min="2315" max="2560" width="9.140625" style="283"/>
    <col min="2561" max="2561" width="13.7109375" style="283" customWidth="1"/>
    <col min="2562" max="2562" width="59" style="283" customWidth="1"/>
    <col min="2563" max="2563" width="12.7109375" style="283" customWidth="1"/>
    <col min="2564" max="2564" width="12.140625" style="283" customWidth="1"/>
    <col min="2565" max="2565" width="8" style="283" customWidth="1"/>
    <col min="2566" max="2566" width="11.140625" style="283" bestFit="1" customWidth="1"/>
    <col min="2567" max="2567" width="9.140625" style="283"/>
    <col min="2568" max="2568" width="12.85546875" style="283" customWidth="1"/>
    <col min="2569" max="2569" width="9.28515625" style="283" bestFit="1" customWidth="1"/>
    <col min="2570" max="2570" width="21.140625" style="283" customWidth="1"/>
    <col min="2571" max="2816" width="9.140625" style="283"/>
    <col min="2817" max="2817" width="13.7109375" style="283" customWidth="1"/>
    <col min="2818" max="2818" width="59" style="283" customWidth="1"/>
    <col min="2819" max="2819" width="12.7109375" style="283" customWidth="1"/>
    <col min="2820" max="2820" width="12.140625" style="283" customWidth="1"/>
    <col min="2821" max="2821" width="8" style="283" customWidth="1"/>
    <col min="2822" max="2822" width="11.140625" style="283" bestFit="1" customWidth="1"/>
    <col min="2823" max="2823" width="9.140625" style="283"/>
    <col min="2824" max="2824" width="12.85546875" style="283" customWidth="1"/>
    <col min="2825" max="2825" width="9.28515625" style="283" bestFit="1" customWidth="1"/>
    <col min="2826" max="2826" width="21.140625" style="283" customWidth="1"/>
    <col min="2827" max="3072" width="9.140625" style="283"/>
    <col min="3073" max="3073" width="13.7109375" style="283" customWidth="1"/>
    <col min="3074" max="3074" width="59" style="283" customWidth="1"/>
    <col min="3075" max="3075" width="12.7109375" style="283" customWidth="1"/>
    <col min="3076" max="3076" width="12.140625" style="283" customWidth="1"/>
    <col min="3077" max="3077" width="8" style="283" customWidth="1"/>
    <col min="3078" max="3078" width="11.140625" style="283" bestFit="1" customWidth="1"/>
    <col min="3079" max="3079" width="9.140625" style="283"/>
    <col min="3080" max="3080" width="12.85546875" style="283" customWidth="1"/>
    <col min="3081" max="3081" width="9.28515625" style="283" bestFit="1" customWidth="1"/>
    <col min="3082" max="3082" width="21.140625" style="283" customWidth="1"/>
    <col min="3083" max="3328" width="9.140625" style="283"/>
    <col min="3329" max="3329" width="13.7109375" style="283" customWidth="1"/>
    <col min="3330" max="3330" width="59" style="283" customWidth="1"/>
    <col min="3331" max="3331" width="12.7109375" style="283" customWidth="1"/>
    <col min="3332" max="3332" width="12.140625" style="283" customWidth="1"/>
    <col min="3333" max="3333" width="8" style="283" customWidth="1"/>
    <col min="3334" max="3334" width="11.140625" style="283" bestFit="1" customWidth="1"/>
    <col min="3335" max="3335" width="9.140625" style="283"/>
    <col min="3336" max="3336" width="12.85546875" style="283" customWidth="1"/>
    <col min="3337" max="3337" width="9.28515625" style="283" bestFit="1" customWidth="1"/>
    <col min="3338" max="3338" width="21.140625" style="283" customWidth="1"/>
    <col min="3339" max="3584" width="9.140625" style="283"/>
    <col min="3585" max="3585" width="13.7109375" style="283" customWidth="1"/>
    <col min="3586" max="3586" width="59" style="283" customWidth="1"/>
    <col min="3587" max="3587" width="12.7109375" style="283" customWidth="1"/>
    <col min="3588" max="3588" width="12.140625" style="283" customWidth="1"/>
    <col min="3589" max="3589" width="8" style="283" customWidth="1"/>
    <col min="3590" max="3590" width="11.140625" style="283" bestFit="1" customWidth="1"/>
    <col min="3591" max="3591" width="9.140625" style="283"/>
    <col min="3592" max="3592" width="12.85546875" style="283" customWidth="1"/>
    <col min="3593" max="3593" width="9.28515625" style="283" bestFit="1" customWidth="1"/>
    <col min="3594" max="3594" width="21.140625" style="283" customWidth="1"/>
    <col min="3595" max="3840" width="9.140625" style="283"/>
    <col min="3841" max="3841" width="13.7109375" style="283" customWidth="1"/>
    <col min="3842" max="3842" width="59" style="283" customWidth="1"/>
    <col min="3843" max="3843" width="12.7109375" style="283" customWidth="1"/>
    <col min="3844" max="3844" width="12.140625" style="283" customWidth="1"/>
    <col min="3845" max="3845" width="8" style="283" customWidth="1"/>
    <col min="3846" max="3846" width="11.140625" style="283" bestFit="1" customWidth="1"/>
    <col min="3847" max="3847" width="9.140625" style="283"/>
    <col min="3848" max="3848" width="12.85546875" style="283" customWidth="1"/>
    <col min="3849" max="3849" width="9.28515625" style="283" bestFit="1" customWidth="1"/>
    <col min="3850" max="3850" width="21.140625" style="283" customWidth="1"/>
    <col min="3851" max="4096" width="9.140625" style="283"/>
    <col min="4097" max="4097" width="13.7109375" style="283" customWidth="1"/>
    <col min="4098" max="4098" width="59" style="283" customWidth="1"/>
    <col min="4099" max="4099" width="12.7109375" style="283" customWidth="1"/>
    <col min="4100" max="4100" width="12.140625" style="283" customWidth="1"/>
    <col min="4101" max="4101" width="8" style="283" customWidth="1"/>
    <col min="4102" max="4102" width="11.140625" style="283" bestFit="1" customWidth="1"/>
    <col min="4103" max="4103" width="9.140625" style="283"/>
    <col min="4104" max="4104" width="12.85546875" style="283" customWidth="1"/>
    <col min="4105" max="4105" width="9.28515625" style="283" bestFit="1" customWidth="1"/>
    <col min="4106" max="4106" width="21.140625" style="283" customWidth="1"/>
    <col min="4107" max="4352" width="9.140625" style="283"/>
    <col min="4353" max="4353" width="13.7109375" style="283" customWidth="1"/>
    <col min="4354" max="4354" width="59" style="283" customWidth="1"/>
    <col min="4355" max="4355" width="12.7109375" style="283" customWidth="1"/>
    <col min="4356" max="4356" width="12.140625" style="283" customWidth="1"/>
    <col min="4357" max="4357" width="8" style="283" customWidth="1"/>
    <col min="4358" max="4358" width="11.140625" style="283" bestFit="1" customWidth="1"/>
    <col min="4359" max="4359" width="9.140625" style="283"/>
    <col min="4360" max="4360" width="12.85546875" style="283" customWidth="1"/>
    <col min="4361" max="4361" width="9.28515625" style="283" bestFit="1" customWidth="1"/>
    <col min="4362" max="4362" width="21.140625" style="283" customWidth="1"/>
    <col min="4363" max="4608" width="9.140625" style="283"/>
    <col min="4609" max="4609" width="13.7109375" style="283" customWidth="1"/>
    <col min="4610" max="4610" width="59" style="283" customWidth="1"/>
    <col min="4611" max="4611" width="12.7109375" style="283" customWidth="1"/>
    <col min="4612" max="4612" width="12.140625" style="283" customWidth="1"/>
    <col min="4613" max="4613" width="8" style="283" customWidth="1"/>
    <col min="4614" max="4614" width="11.140625" style="283" bestFit="1" customWidth="1"/>
    <col min="4615" max="4615" width="9.140625" style="283"/>
    <col min="4616" max="4616" width="12.85546875" style="283" customWidth="1"/>
    <col min="4617" max="4617" width="9.28515625" style="283" bestFit="1" customWidth="1"/>
    <col min="4618" max="4618" width="21.140625" style="283" customWidth="1"/>
    <col min="4619" max="4864" width="9.140625" style="283"/>
    <col min="4865" max="4865" width="13.7109375" style="283" customWidth="1"/>
    <col min="4866" max="4866" width="59" style="283" customWidth="1"/>
    <col min="4867" max="4867" width="12.7109375" style="283" customWidth="1"/>
    <col min="4868" max="4868" width="12.140625" style="283" customWidth="1"/>
    <col min="4869" max="4869" width="8" style="283" customWidth="1"/>
    <col min="4870" max="4870" width="11.140625" style="283" bestFit="1" customWidth="1"/>
    <col min="4871" max="4871" width="9.140625" style="283"/>
    <col min="4872" max="4872" width="12.85546875" style="283" customWidth="1"/>
    <col min="4873" max="4873" width="9.28515625" style="283" bestFit="1" customWidth="1"/>
    <col min="4874" max="4874" width="21.140625" style="283" customWidth="1"/>
    <col min="4875" max="5120" width="9.140625" style="283"/>
    <col min="5121" max="5121" width="13.7109375" style="283" customWidth="1"/>
    <col min="5122" max="5122" width="59" style="283" customWidth="1"/>
    <col min="5123" max="5123" width="12.7109375" style="283" customWidth="1"/>
    <col min="5124" max="5124" width="12.140625" style="283" customWidth="1"/>
    <col min="5125" max="5125" width="8" style="283" customWidth="1"/>
    <col min="5126" max="5126" width="11.140625" style="283" bestFit="1" customWidth="1"/>
    <col min="5127" max="5127" width="9.140625" style="283"/>
    <col min="5128" max="5128" width="12.85546875" style="283" customWidth="1"/>
    <col min="5129" max="5129" width="9.28515625" style="283" bestFit="1" customWidth="1"/>
    <col min="5130" max="5130" width="21.140625" style="283" customWidth="1"/>
    <col min="5131" max="5376" width="9.140625" style="283"/>
    <col min="5377" max="5377" width="13.7109375" style="283" customWidth="1"/>
    <col min="5378" max="5378" width="59" style="283" customWidth="1"/>
    <col min="5379" max="5379" width="12.7109375" style="283" customWidth="1"/>
    <col min="5380" max="5380" width="12.140625" style="283" customWidth="1"/>
    <col min="5381" max="5381" width="8" style="283" customWidth="1"/>
    <col min="5382" max="5382" width="11.140625" style="283" bestFit="1" customWidth="1"/>
    <col min="5383" max="5383" width="9.140625" style="283"/>
    <col min="5384" max="5384" width="12.85546875" style="283" customWidth="1"/>
    <col min="5385" max="5385" width="9.28515625" style="283" bestFit="1" customWidth="1"/>
    <col min="5386" max="5386" width="21.140625" style="283" customWidth="1"/>
    <col min="5387" max="5632" width="9.140625" style="283"/>
    <col min="5633" max="5633" width="13.7109375" style="283" customWidth="1"/>
    <col min="5634" max="5634" width="59" style="283" customWidth="1"/>
    <col min="5635" max="5635" width="12.7109375" style="283" customWidth="1"/>
    <col min="5636" max="5636" width="12.140625" style="283" customWidth="1"/>
    <col min="5637" max="5637" width="8" style="283" customWidth="1"/>
    <col min="5638" max="5638" width="11.140625" style="283" bestFit="1" customWidth="1"/>
    <col min="5639" max="5639" width="9.140625" style="283"/>
    <col min="5640" max="5640" width="12.85546875" style="283" customWidth="1"/>
    <col min="5641" max="5641" width="9.28515625" style="283" bestFit="1" customWidth="1"/>
    <col min="5642" max="5642" width="21.140625" style="283" customWidth="1"/>
    <col min="5643" max="5888" width="9.140625" style="283"/>
    <col min="5889" max="5889" width="13.7109375" style="283" customWidth="1"/>
    <col min="5890" max="5890" width="59" style="283" customWidth="1"/>
    <col min="5891" max="5891" width="12.7109375" style="283" customWidth="1"/>
    <col min="5892" max="5892" width="12.140625" style="283" customWidth="1"/>
    <col min="5893" max="5893" width="8" style="283" customWidth="1"/>
    <col min="5894" max="5894" width="11.140625" style="283" bestFit="1" customWidth="1"/>
    <col min="5895" max="5895" width="9.140625" style="283"/>
    <col min="5896" max="5896" width="12.85546875" style="283" customWidth="1"/>
    <col min="5897" max="5897" width="9.28515625" style="283" bestFit="1" customWidth="1"/>
    <col min="5898" max="5898" width="21.140625" style="283" customWidth="1"/>
    <col min="5899" max="6144" width="9.140625" style="283"/>
    <col min="6145" max="6145" width="13.7109375" style="283" customWidth="1"/>
    <col min="6146" max="6146" width="59" style="283" customWidth="1"/>
    <col min="6147" max="6147" width="12.7109375" style="283" customWidth="1"/>
    <col min="6148" max="6148" width="12.140625" style="283" customWidth="1"/>
    <col min="6149" max="6149" width="8" style="283" customWidth="1"/>
    <col min="6150" max="6150" width="11.140625" style="283" bestFit="1" customWidth="1"/>
    <col min="6151" max="6151" width="9.140625" style="283"/>
    <col min="6152" max="6152" width="12.85546875" style="283" customWidth="1"/>
    <col min="6153" max="6153" width="9.28515625" style="283" bestFit="1" customWidth="1"/>
    <col min="6154" max="6154" width="21.140625" style="283" customWidth="1"/>
    <col min="6155" max="6400" width="9.140625" style="283"/>
    <col min="6401" max="6401" width="13.7109375" style="283" customWidth="1"/>
    <col min="6402" max="6402" width="59" style="283" customWidth="1"/>
    <col min="6403" max="6403" width="12.7109375" style="283" customWidth="1"/>
    <col min="6404" max="6404" width="12.140625" style="283" customWidth="1"/>
    <col min="6405" max="6405" width="8" style="283" customWidth="1"/>
    <col min="6406" max="6406" width="11.140625" style="283" bestFit="1" customWidth="1"/>
    <col min="6407" max="6407" width="9.140625" style="283"/>
    <col min="6408" max="6408" width="12.85546875" style="283" customWidth="1"/>
    <col min="6409" max="6409" width="9.28515625" style="283" bestFit="1" customWidth="1"/>
    <col min="6410" max="6410" width="21.140625" style="283" customWidth="1"/>
    <col min="6411" max="6656" width="9.140625" style="283"/>
    <col min="6657" max="6657" width="13.7109375" style="283" customWidth="1"/>
    <col min="6658" max="6658" width="59" style="283" customWidth="1"/>
    <col min="6659" max="6659" width="12.7109375" style="283" customWidth="1"/>
    <col min="6660" max="6660" width="12.140625" style="283" customWidth="1"/>
    <col min="6661" max="6661" width="8" style="283" customWidth="1"/>
    <col min="6662" max="6662" width="11.140625" style="283" bestFit="1" customWidth="1"/>
    <col min="6663" max="6663" width="9.140625" style="283"/>
    <col min="6664" max="6664" width="12.85546875" style="283" customWidth="1"/>
    <col min="6665" max="6665" width="9.28515625" style="283" bestFit="1" customWidth="1"/>
    <col min="6666" max="6666" width="21.140625" style="283" customWidth="1"/>
    <col min="6667" max="6912" width="9.140625" style="283"/>
    <col min="6913" max="6913" width="13.7109375" style="283" customWidth="1"/>
    <col min="6914" max="6914" width="59" style="283" customWidth="1"/>
    <col min="6915" max="6915" width="12.7109375" style="283" customWidth="1"/>
    <col min="6916" max="6916" width="12.140625" style="283" customWidth="1"/>
    <col min="6917" max="6917" width="8" style="283" customWidth="1"/>
    <col min="6918" max="6918" width="11.140625" style="283" bestFit="1" customWidth="1"/>
    <col min="6919" max="6919" width="9.140625" style="283"/>
    <col min="6920" max="6920" width="12.85546875" style="283" customWidth="1"/>
    <col min="6921" max="6921" width="9.28515625" style="283" bestFit="1" customWidth="1"/>
    <col min="6922" max="6922" width="21.140625" style="283" customWidth="1"/>
    <col min="6923" max="7168" width="9.140625" style="283"/>
    <col min="7169" max="7169" width="13.7109375" style="283" customWidth="1"/>
    <col min="7170" max="7170" width="59" style="283" customWidth="1"/>
    <col min="7171" max="7171" width="12.7109375" style="283" customWidth="1"/>
    <col min="7172" max="7172" width="12.140625" style="283" customWidth="1"/>
    <col min="7173" max="7173" width="8" style="283" customWidth="1"/>
    <col min="7174" max="7174" width="11.140625" style="283" bestFit="1" customWidth="1"/>
    <col min="7175" max="7175" width="9.140625" style="283"/>
    <col min="7176" max="7176" width="12.85546875" style="283" customWidth="1"/>
    <col min="7177" max="7177" width="9.28515625" style="283" bestFit="1" customWidth="1"/>
    <col min="7178" max="7178" width="21.140625" style="283" customWidth="1"/>
    <col min="7179" max="7424" width="9.140625" style="283"/>
    <col min="7425" max="7425" width="13.7109375" style="283" customWidth="1"/>
    <col min="7426" max="7426" width="59" style="283" customWidth="1"/>
    <col min="7427" max="7427" width="12.7109375" style="283" customWidth="1"/>
    <col min="7428" max="7428" width="12.140625" style="283" customWidth="1"/>
    <col min="7429" max="7429" width="8" style="283" customWidth="1"/>
    <col min="7430" max="7430" width="11.140625" style="283" bestFit="1" customWidth="1"/>
    <col min="7431" max="7431" width="9.140625" style="283"/>
    <col min="7432" max="7432" width="12.85546875" style="283" customWidth="1"/>
    <col min="7433" max="7433" width="9.28515625" style="283" bestFit="1" customWidth="1"/>
    <col min="7434" max="7434" width="21.140625" style="283" customWidth="1"/>
    <col min="7435" max="7680" width="9.140625" style="283"/>
    <col min="7681" max="7681" width="13.7109375" style="283" customWidth="1"/>
    <col min="7682" max="7682" width="59" style="283" customWidth="1"/>
    <col min="7683" max="7683" width="12.7109375" style="283" customWidth="1"/>
    <col min="7684" max="7684" width="12.140625" style="283" customWidth="1"/>
    <col min="7685" max="7685" width="8" style="283" customWidth="1"/>
    <col min="7686" max="7686" width="11.140625" style="283" bestFit="1" customWidth="1"/>
    <col min="7687" max="7687" width="9.140625" style="283"/>
    <col min="7688" max="7688" width="12.85546875" style="283" customWidth="1"/>
    <col min="7689" max="7689" width="9.28515625" style="283" bestFit="1" customWidth="1"/>
    <col min="7690" max="7690" width="21.140625" style="283" customWidth="1"/>
    <col min="7691" max="7936" width="9.140625" style="283"/>
    <col min="7937" max="7937" width="13.7109375" style="283" customWidth="1"/>
    <col min="7938" max="7938" width="59" style="283" customWidth="1"/>
    <col min="7939" max="7939" width="12.7109375" style="283" customWidth="1"/>
    <col min="7940" max="7940" width="12.140625" style="283" customWidth="1"/>
    <col min="7941" max="7941" width="8" style="283" customWidth="1"/>
    <col min="7942" max="7942" width="11.140625" style="283" bestFit="1" customWidth="1"/>
    <col min="7943" max="7943" width="9.140625" style="283"/>
    <col min="7944" max="7944" width="12.85546875" style="283" customWidth="1"/>
    <col min="7945" max="7945" width="9.28515625" style="283" bestFit="1" customWidth="1"/>
    <col min="7946" max="7946" width="21.140625" style="283" customWidth="1"/>
    <col min="7947" max="8192" width="9.140625" style="283"/>
    <col min="8193" max="8193" width="13.7109375" style="283" customWidth="1"/>
    <col min="8194" max="8194" width="59" style="283" customWidth="1"/>
    <col min="8195" max="8195" width="12.7109375" style="283" customWidth="1"/>
    <col min="8196" max="8196" width="12.140625" style="283" customWidth="1"/>
    <col min="8197" max="8197" width="8" style="283" customWidth="1"/>
    <col min="8198" max="8198" width="11.140625" style="283" bestFit="1" customWidth="1"/>
    <col min="8199" max="8199" width="9.140625" style="283"/>
    <col min="8200" max="8200" width="12.85546875" style="283" customWidth="1"/>
    <col min="8201" max="8201" width="9.28515625" style="283" bestFit="1" customWidth="1"/>
    <col min="8202" max="8202" width="21.140625" style="283" customWidth="1"/>
    <col min="8203" max="8448" width="9.140625" style="283"/>
    <col min="8449" max="8449" width="13.7109375" style="283" customWidth="1"/>
    <col min="8450" max="8450" width="59" style="283" customWidth="1"/>
    <col min="8451" max="8451" width="12.7109375" style="283" customWidth="1"/>
    <col min="8452" max="8452" width="12.140625" style="283" customWidth="1"/>
    <col min="8453" max="8453" width="8" style="283" customWidth="1"/>
    <col min="8454" max="8454" width="11.140625" style="283" bestFit="1" customWidth="1"/>
    <col min="8455" max="8455" width="9.140625" style="283"/>
    <col min="8456" max="8456" width="12.85546875" style="283" customWidth="1"/>
    <col min="8457" max="8457" width="9.28515625" style="283" bestFit="1" customWidth="1"/>
    <col min="8458" max="8458" width="21.140625" style="283" customWidth="1"/>
    <col min="8459" max="8704" width="9.140625" style="283"/>
    <col min="8705" max="8705" width="13.7109375" style="283" customWidth="1"/>
    <col min="8706" max="8706" width="59" style="283" customWidth="1"/>
    <col min="8707" max="8707" width="12.7109375" style="283" customWidth="1"/>
    <col min="8708" max="8708" width="12.140625" style="283" customWidth="1"/>
    <col min="8709" max="8709" width="8" style="283" customWidth="1"/>
    <col min="8710" max="8710" width="11.140625" style="283" bestFit="1" customWidth="1"/>
    <col min="8711" max="8711" width="9.140625" style="283"/>
    <col min="8712" max="8712" width="12.85546875" style="283" customWidth="1"/>
    <col min="8713" max="8713" width="9.28515625" style="283" bestFit="1" customWidth="1"/>
    <col min="8714" max="8714" width="21.140625" style="283" customWidth="1"/>
    <col min="8715" max="8960" width="9.140625" style="283"/>
    <col min="8961" max="8961" width="13.7109375" style="283" customWidth="1"/>
    <col min="8962" max="8962" width="59" style="283" customWidth="1"/>
    <col min="8963" max="8963" width="12.7109375" style="283" customWidth="1"/>
    <col min="8964" max="8964" width="12.140625" style="283" customWidth="1"/>
    <col min="8965" max="8965" width="8" style="283" customWidth="1"/>
    <col min="8966" max="8966" width="11.140625" style="283" bestFit="1" customWidth="1"/>
    <col min="8967" max="8967" width="9.140625" style="283"/>
    <col min="8968" max="8968" width="12.85546875" style="283" customWidth="1"/>
    <col min="8969" max="8969" width="9.28515625" style="283" bestFit="1" customWidth="1"/>
    <col min="8970" max="8970" width="21.140625" style="283" customWidth="1"/>
    <col min="8971" max="9216" width="9.140625" style="283"/>
    <col min="9217" max="9217" width="13.7109375" style="283" customWidth="1"/>
    <col min="9218" max="9218" width="59" style="283" customWidth="1"/>
    <col min="9219" max="9219" width="12.7109375" style="283" customWidth="1"/>
    <col min="9220" max="9220" width="12.140625" style="283" customWidth="1"/>
    <col min="9221" max="9221" width="8" style="283" customWidth="1"/>
    <col min="9222" max="9222" width="11.140625" style="283" bestFit="1" customWidth="1"/>
    <col min="9223" max="9223" width="9.140625" style="283"/>
    <col min="9224" max="9224" width="12.85546875" style="283" customWidth="1"/>
    <col min="9225" max="9225" width="9.28515625" style="283" bestFit="1" customWidth="1"/>
    <col min="9226" max="9226" width="21.140625" style="283" customWidth="1"/>
    <col min="9227" max="9472" width="9.140625" style="283"/>
    <col min="9473" max="9473" width="13.7109375" style="283" customWidth="1"/>
    <col min="9474" max="9474" width="59" style="283" customWidth="1"/>
    <col min="9475" max="9475" width="12.7109375" style="283" customWidth="1"/>
    <col min="9476" max="9476" width="12.140625" style="283" customWidth="1"/>
    <col min="9477" max="9477" width="8" style="283" customWidth="1"/>
    <col min="9478" max="9478" width="11.140625" style="283" bestFit="1" customWidth="1"/>
    <col min="9479" max="9479" width="9.140625" style="283"/>
    <col min="9480" max="9480" width="12.85546875" style="283" customWidth="1"/>
    <col min="9481" max="9481" width="9.28515625" style="283" bestFit="1" customWidth="1"/>
    <col min="9482" max="9482" width="21.140625" style="283" customWidth="1"/>
    <col min="9483" max="9728" width="9.140625" style="283"/>
    <col min="9729" max="9729" width="13.7109375" style="283" customWidth="1"/>
    <col min="9730" max="9730" width="59" style="283" customWidth="1"/>
    <col min="9731" max="9731" width="12.7109375" style="283" customWidth="1"/>
    <col min="9732" max="9732" width="12.140625" style="283" customWidth="1"/>
    <col min="9733" max="9733" width="8" style="283" customWidth="1"/>
    <col min="9734" max="9734" width="11.140625" style="283" bestFit="1" customWidth="1"/>
    <col min="9735" max="9735" width="9.140625" style="283"/>
    <col min="9736" max="9736" width="12.85546875" style="283" customWidth="1"/>
    <col min="9737" max="9737" width="9.28515625" style="283" bestFit="1" customWidth="1"/>
    <col min="9738" max="9738" width="21.140625" style="283" customWidth="1"/>
    <col min="9739" max="9984" width="9.140625" style="283"/>
    <col min="9985" max="9985" width="13.7109375" style="283" customWidth="1"/>
    <col min="9986" max="9986" width="59" style="283" customWidth="1"/>
    <col min="9987" max="9987" width="12.7109375" style="283" customWidth="1"/>
    <col min="9988" max="9988" width="12.140625" style="283" customWidth="1"/>
    <col min="9989" max="9989" width="8" style="283" customWidth="1"/>
    <col min="9990" max="9990" width="11.140625" style="283" bestFit="1" customWidth="1"/>
    <col min="9991" max="9991" width="9.140625" style="283"/>
    <col min="9992" max="9992" width="12.85546875" style="283" customWidth="1"/>
    <col min="9993" max="9993" width="9.28515625" style="283" bestFit="1" customWidth="1"/>
    <col min="9994" max="9994" width="21.140625" style="283" customWidth="1"/>
    <col min="9995" max="10240" width="9.140625" style="283"/>
    <col min="10241" max="10241" width="13.7109375" style="283" customWidth="1"/>
    <col min="10242" max="10242" width="59" style="283" customWidth="1"/>
    <col min="10243" max="10243" width="12.7109375" style="283" customWidth="1"/>
    <col min="10244" max="10244" width="12.140625" style="283" customWidth="1"/>
    <col min="10245" max="10245" width="8" style="283" customWidth="1"/>
    <col min="10246" max="10246" width="11.140625" style="283" bestFit="1" customWidth="1"/>
    <col min="10247" max="10247" width="9.140625" style="283"/>
    <col min="10248" max="10248" width="12.85546875" style="283" customWidth="1"/>
    <col min="10249" max="10249" width="9.28515625" style="283" bestFit="1" customWidth="1"/>
    <col min="10250" max="10250" width="21.140625" style="283" customWidth="1"/>
    <col min="10251" max="10496" width="9.140625" style="283"/>
    <col min="10497" max="10497" width="13.7109375" style="283" customWidth="1"/>
    <col min="10498" max="10498" width="59" style="283" customWidth="1"/>
    <col min="10499" max="10499" width="12.7109375" style="283" customWidth="1"/>
    <col min="10500" max="10500" width="12.140625" style="283" customWidth="1"/>
    <col min="10501" max="10501" width="8" style="283" customWidth="1"/>
    <col min="10502" max="10502" width="11.140625" style="283" bestFit="1" customWidth="1"/>
    <col min="10503" max="10503" width="9.140625" style="283"/>
    <col min="10504" max="10504" width="12.85546875" style="283" customWidth="1"/>
    <col min="10505" max="10505" width="9.28515625" style="283" bestFit="1" customWidth="1"/>
    <col min="10506" max="10506" width="21.140625" style="283" customWidth="1"/>
    <col min="10507" max="10752" width="9.140625" style="283"/>
    <col min="10753" max="10753" width="13.7109375" style="283" customWidth="1"/>
    <col min="10754" max="10754" width="59" style="283" customWidth="1"/>
    <col min="10755" max="10755" width="12.7109375" style="283" customWidth="1"/>
    <col min="10756" max="10756" width="12.140625" style="283" customWidth="1"/>
    <col min="10757" max="10757" width="8" style="283" customWidth="1"/>
    <col min="10758" max="10758" width="11.140625" style="283" bestFit="1" customWidth="1"/>
    <col min="10759" max="10759" width="9.140625" style="283"/>
    <col min="10760" max="10760" width="12.85546875" style="283" customWidth="1"/>
    <col min="10761" max="10761" width="9.28515625" style="283" bestFit="1" customWidth="1"/>
    <col min="10762" max="10762" width="21.140625" style="283" customWidth="1"/>
    <col min="10763" max="11008" width="9.140625" style="283"/>
    <col min="11009" max="11009" width="13.7109375" style="283" customWidth="1"/>
    <col min="11010" max="11010" width="59" style="283" customWidth="1"/>
    <col min="11011" max="11011" width="12.7109375" style="283" customWidth="1"/>
    <col min="11012" max="11012" width="12.140625" style="283" customWidth="1"/>
    <col min="11013" max="11013" width="8" style="283" customWidth="1"/>
    <col min="11014" max="11014" width="11.140625" style="283" bestFit="1" customWidth="1"/>
    <col min="11015" max="11015" width="9.140625" style="283"/>
    <col min="11016" max="11016" width="12.85546875" style="283" customWidth="1"/>
    <col min="11017" max="11017" width="9.28515625" style="283" bestFit="1" customWidth="1"/>
    <col min="11018" max="11018" width="21.140625" style="283" customWidth="1"/>
    <col min="11019" max="11264" width="9.140625" style="283"/>
    <col min="11265" max="11265" width="13.7109375" style="283" customWidth="1"/>
    <col min="11266" max="11266" width="59" style="283" customWidth="1"/>
    <col min="11267" max="11267" width="12.7109375" style="283" customWidth="1"/>
    <col min="11268" max="11268" width="12.140625" style="283" customWidth="1"/>
    <col min="11269" max="11269" width="8" style="283" customWidth="1"/>
    <col min="11270" max="11270" width="11.140625" style="283" bestFit="1" customWidth="1"/>
    <col min="11271" max="11271" width="9.140625" style="283"/>
    <col min="11272" max="11272" width="12.85546875" style="283" customWidth="1"/>
    <col min="11273" max="11273" width="9.28515625" style="283" bestFit="1" customWidth="1"/>
    <col min="11274" max="11274" width="21.140625" style="283" customWidth="1"/>
    <col min="11275" max="11520" width="9.140625" style="283"/>
    <col min="11521" max="11521" width="13.7109375" style="283" customWidth="1"/>
    <col min="11522" max="11522" width="59" style="283" customWidth="1"/>
    <col min="11523" max="11523" width="12.7109375" style="283" customWidth="1"/>
    <col min="11524" max="11524" width="12.140625" style="283" customWidth="1"/>
    <col min="11525" max="11525" width="8" style="283" customWidth="1"/>
    <col min="11526" max="11526" width="11.140625" style="283" bestFit="1" customWidth="1"/>
    <col min="11527" max="11527" width="9.140625" style="283"/>
    <col min="11528" max="11528" width="12.85546875" style="283" customWidth="1"/>
    <col min="11529" max="11529" width="9.28515625" style="283" bestFit="1" customWidth="1"/>
    <col min="11530" max="11530" width="21.140625" style="283" customWidth="1"/>
    <col min="11531" max="11776" width="9.140625" style="283"/>
    <col min="11777" max="11777" width="13.7109375" style="283" customWidth="1"/>
    <col min="11778" max="11778" width="59" style="283" customWidth="1"/>
    <col min="11779" max="11779" width="12.7109375" style="283" customWidth="1"/>
    <col min="11780" max="11780" width="12.140625" style="283" customWidth="1"/>
    <col min="11781" max="11781" width="8" style="283" customWidth="1"/>
    <col min="11782" max="11782" width="11.140625" style="283" bestFit="1" customWidth="1"/>
    <col min="11783" max="11783" width="9.140625" style="283"/>
    <col min="11784" max="11784" width="12.85546875" style="283" customWidth="1"/>
    <col min="11785" max="11785" width="9.28515625" style="283" bestFit="1" customWidth="1"/>
    <col min="11786" max="11786" width="21.140625" style="283" customWidth="1"/>
    <col min="11787" max="12032" width="9.140625" style="283"/>
    <col min="12033" max="12033" width="13.7109375" style="283" customWidth="1"/>
    <col min="12034" max="12034" width="59" style="283" customWidth="1"/>
    <col min="12035" max="12035" width="12.7109375" style="283" customWidth="1"/>
    <col min="12036" max="12036" width="12.140625" style="283" customWidth="1"/>
    <col min="12037" max="12037" width="8" style="283" customWidth="1"/>
    <col min="12038" max="12038" width="11.140625" style="283" bestFit="1" customWidth="1"/>
    <col min="12039" max="12039" width="9.140625" style="283"/>
    <col min="12040" max="12040" width="12.85546875" style="283" customWidth="1"/>
    <col min="12041" max="12041" width="9.28515625" style="283" bestFit="1" customWidth="1"/>
    <col min="12042" max="12042" width="21.140625" style="283" customWidth="1"/>
    <col min="12043" max="12288" width="9.140625" style="283"/>
    <col min="12289" max="12289" width="13.7109375" style="283" customWidth="1"/>
    <col min="12290" max="12290" width="59" style="283" customWidth="1"/>
    <col min="12291" max="12291" width="12.7109375" style="283" customWidth="1"/>
    <col min="12292" max="12292" width="12.140625" style="283" customWidth="1"/>
    <col min="12293" max="12293" width="8" style="283" customWidth="1"/>
    <col min="12294" max="12294" width="11.140625" style="283" bestFit="1" customWidth="1"/>
    <col min="12295" max="12295" width="9.140625" style="283"/>
    <col min="12296" max="12296" width="12.85546875" style="283" customWidth="1"/>
    <col min="12297" max="12297" width="9.28515625" style="283" bestFit="1" customWidth="1"/>
    <col min="12298" max="12298" width="21.140625" style="283" customWidth="1"/>
    <col min="12299" max="12544" width="9.140625" style="283"/>
    <col min="12545" max="12545" width="13.7109375" style="283" customWidth="1"/>
    <col min="12546" max="12546" width="59" style="283" customWidth="1"/>
    <col min="12547" max="12547" width="12.7109375" style="283" customWidth="1"/>
    <col min="12548" max="12548" width="12.140625" style="283" customWidth="1"/>
    <col min="12549" max="12549" width="8" style="283" customWidth="1"/>
    <col min="12550" max="12550" width="11.140625" style="283" bestFit="1" customWidth="1"/>
    <col min="12551" max="12551" width="9.140625" style="283"/>
    <col min="12552" max="12552" width="12.85546875" style="283" customWidth="1"/>
    <col min="12553" max="12553" width="9.28515625" style="283" bestFit="1" customWidth="1"/>
    <col min="12554" max="12554" width="21.140625" style="283" customWidth="1"/>
    <col min="12555" max="12800" width="9.140625" style="283"/>
    <col min="12801" max="12801" width="13.7109375" style="283" customWidth="1"/>
    <col min="12802" max="12802" width="59" style="283" customWidth="1"/>
    <col min="12803" max="12803" width="12.7109375" style="283" customWidth="1"/>
    <col min="12804" max="12804" width="12.140625" style="283" customWidth="1"/>
    <col min="12805" max="12805" width="8" style="283" customWidth="1"/>
    <col min="12806" max="12806" width="11.140625" style="283" bestFit="1" customWidth="1"/>
    <col min="12807" max="12807" width="9.140625" style="283"/>
    <col min="12808" max="12808" width="12.85546875" style="283" customWidth="1"/>
    <col min="12809" max="12809" width="9.28515625" style="283" bestFit="1" customWidth="1"/>
    <col min="12810" max="12810" width="21.140625" style="283" customWidth="1"/>
    <col min="12811" max="13056" width="9.140625" style="283"/>
    <col min="13057" max="13057" width="13.7109375" style="283" customWidth="1"/>
    <col min="13058" max="13058" width="59" style="283" customWidth="1"/>
    <col min="13059" max="13059" width="12.7109375" style="283" customWidth="1"/>
    <col min="13060" max="13060" width="12.140625" style="283" customWidth="1"/>
    <col min="13061" max="13061" width="8" style="283" customWidth="1"/>
    <col min="13062" max="13062" width="11.140625" style="283" bestFit="1" customWidth="1"/>
    <col min="13063" max="13063" width="9.140625" style="283"/>
    <col min="13064" max="13064" width="12.85546875" style="283" customWidth="1"/>
    <col min="13065" max="13065" width="9.28515625" style="283" bestFit="1" customWidth="1"/>
    <col min="13066" max="13066" width="21.140625" style="283" customWidth="1"/>
    <col min="13067" max="13312" width="9.140625" style="283"/>
    <col min="13313" max="13313" width="13.7109375" style="283" customWidth="1"/>
    <col min="13314" max="13314" width="59" style="283" customWidth="1"/>
    <col min="13315" max="13315" width="12.7109375" style="283" customWidth="1"/>
    <col min="13316" max="13316" width="12.140625" style="283" customWidth="1"/>
    <col min="13317" max="13317" width="8" style="283" customWidth="1"/>
    <col min="13318" max="13318" width="11.140625" style="283" bestFit="1" customWidth="1"/>
    <col min="13319" max="13319" width="9.140625" style="283"/>
    <col min="13320" max="13320" width="12.85546875" style="283" customWidth="1"/>
    <col min="13321" max="13321" width="9.28515625" style="283" bestFit="1" customWidth="1"/>
    <col min="13322" max="13322" width="21.140625" style="283" customWidth="1"/>
    <col min="13323" max="13568" width="9.140625" style="283"/>
    <col min="13569" max="13569" width="13.7109375" style="283" customWidth="1"/>
    <col min="13570" max="13570" width="59" style="283" customWidth="1"/>
    <col min="13571" max="13571" width="12.7109375" style="283" customWidth="1"/>
    <col min="13572" max="13572" width="12.140625" style="283" customWidth="1"/>
    <col min="13573" max="13573" width="8" style="283" customWidth="1"/>
    <col min="13574" max="13574" width="11.140625" style="283" bestFit="1" customWidth="1"/>
    <col min="13575" max="13575" width="9.140625" style="283"/>
    <col min="13576" max="13576" width="12.85546875" style="283" customWidth="1"/>
    <col min="13577" max="13577" width="9.28515625" style="283" bestFit="1" customWidth="1"/>
    <col min="13578" max="13578" width="21.140625" style="283" customWidth="1"/>
    <col min="13579" max="13824" width="9.140625" style="283"/>
    <col min="13825" max="13825" width="13.7109375" style="283" customWidth="1"/>
    <col min="13826" max="13826" width="59" style="283" customWidth="1"/>
    <col min="13827" max="13827" width="12.7109375" style="283" customWidth="1"/>
    <col min="13828" max="13828" width="12.140625" style="283" customWidth="1"/>
    <col min="13829" max="13829" width="8" style="283" customWidth="1"/>
    <col min="13830" max="13830" width="11.140625" style="283" bestFit="1" customWidth="1"/>
    <col min="13831" max="13831" width="9.140625" style="283"/>
    <col min="13832" max="13832" width="12.85546875" style="283" customWidth="1"/>
    <col min="13833" max="13833" width="9.28515625" style="283" bestFit="1" customWidth="1"/>
    <col min="13834" max="13834" width="21.140625" style="283" customWidth="1"/>
    <col min="13835" max="14080" width="9.140625" style="283"/>
    <col min="14081" max="14081" width="13.7109375" style="283" customWidth="1"/>
    <col min="14082" max="14082" width="59" style="283" customWidth="1"/>
    <col min="14083" max="14083" width="12.7109375" style="283" customWidth="1"/>
    <col min="14084" max="14084" width="12.140625" style="283" customWidth="1"/>
    <col min="14085" max="14085" width="8" style="283" customWidth="1"/>
    <col min="14086" max="14086" width="11.140625" style="283" bestFit="1" customWidth="1"/>
    <col min="14087" max="14087" width="9.140625" style="283"/>
    <col min="14088" max="14088" width="12.85546875" style="283" customWidth="1"/>
    <col min="14089" max="14089" width="9.28515625" style="283" bestFit="1" customWidth="1"/>
    <col min="14090" max="14090" width="21.140625" style="283" customWidth="1"/>
    <col min="14091" max="14336" width="9.140625" style="283"/>
    <col min="14337" max="14337" width="13.7109375" style="283" customWidth="1"/>
    <col min="14338" max="14338" width="59" style="283" customWidth="1"/>
    <col min="14339" max="14339" width="12.7109375" style="283" customWidth="1"/>
    <col min="14340" max="14340" width="12.140625" style="283" customWidth="1"/>
    <col min="14341" max="14341" width="8" style="283" customWidth="1"/>
    <col min="14342" max="14342" width="11.140625" style="283" bestFit="1" customWidth="1"/>
    <col min="14343" max="14343" width="9.140625" style="283"/>
    <col min="14344" max="14344" width="12.85546875" style="283" customWidth="1"/>
    <col min="14345" max="14345" width="9.28515625" style="283" bestFit="1" customWidth="1"/>
    <col min="14346" max="14346" width="21.140625" style="283" customWidth="1"/>
    <col min="14347" max="14592" width="9.140625" style="283"/>
    <col min="14593" max="14593" width="13.7109375" style="283" customWidth="1"/>
    <col min="14594" max="14594" width="59" style="283" customWidth="1"/>
    <col min="14595" max="14595" width="12.7109375" style="283" customWidth="1"/>
    <col min="14596" max="14596" width="12.140625" style="283" customWidth="1"/>
    <col min="14597" max="14597" width="8" style="283" customWidth="1"/>
    <col min="14598" max="14598" width="11.140625" style="283" bestFit="1" customWidth="1"/>
    <col min="14599" max="14599" width="9.140625" style="283"/>
    <col min="14600" max="14600" width="12.85546875" style="283" customWidth="1"/>
    <col min="14601" max="14601" width="9.28515625" style="283" bestFit="1" customWidth="1"/>
    <col min="14602" max="14602" width="21.140625" style="283" customWidth="1"/>
    <col min="14603" max="14848" width="9.140625" style="283"/>
    <col min="14849" max="14849" width="13.7109375" style="283" customWidth="1"/>
    <col min="14850" max="14850" width="59" style="283" customWidth="1"/>
    <col min="14851" max="14851" width="12.7109375" style="283" customWidth="1"/>
    <col min="14852" max="14852" width="12.140625" style="283" customWidth="1"/>
    <col min="14853" max="14853" width="8" style="283" customWidth="1"/>
    <col min="14854" max="14854" width="11.140625" style="283" bestFit="1" customWidth="1"/>
    <col min="14855" max="14855" width="9.140625" style="283"/>
    <col min="14856" max="14856" width="12.85546875" style="283" customWidth="1"/>
    <col min="14857" max="14857" width="9.28515625" style="283" bestFit="1" customWidth="1"/>
    <col min="14858" max="14858" width="21.140625" style="283" customWidth="1"/>
    <col min="14859" max="15104" width="9.140625" style="283"/>
    <col min="15105" max="15105" width="13.7109375" style="283" customWidth="1"/>
    <col min="15106" max="15106" width="59" style="283" customWidth="1"/>
    <col min="15107" max="15107" width="12.7109375" style="283" customWidth="1"/>
    <col min="15108" max="15108" width="12.140625" style="283" customWidth="1"/>
    <col min="15109" max="15109" width="8" style="283" customWidth="1"/>
    <col min="15110" max="15110" width="11.140625" style="283" bestFit="1" customWidth="1"/>
    <col min="15111" max="15111" width="9.140625" style="283"/>
    <col min="15112" max="15112" width="12.85546875" style="283" customWidth="1"/>
    <col min="15113" max="15113" width="9.28515625" style="283" bestFit="1" customWidth="1"/>
    <col min="15114" max="15114" width="21.140625" style="283" customWidth="1"/>
    <col min="15115" max="15360" width="9.140625" style="283"/>
    <col min="15361" max="15361" width="13.7109375" style="283" customWidth="1"/>
    <col min="15362" max="15362" width="59" style="283" customWidth="1"/>
    <col min="15363" max="15363" width="12.7109375" style="283" customWidth="1"/>
    <col min="15364" max="15364" width="12.140625" style="283" customWidth="1"/>
    <col min="15365" max="15365" width="8" style="283" customWidth="1"/>
    <col min="15366" max="15366" width="11.140625" style="283" bestFit="1" customWidth="1"/>
    <col min="15367" max="15367" width="9.140625" style="283"/>
    <col min="15368" max="15368" width="12.85546875" style="283" customWidth="1"/>
    <col min="15369" max="15369" width="9.28515625" style="283" bestFit="1" customWidth="1"/>
    <col min="15370" max="15370" width="21.140625" style="283" customWidth="1"/>
    <col min="15371" max="15616" width="9.140625" style="283"/>
    <col min="15617" max="15617" width="13.7109375" style="283" customWidth="1"/>
    <col min="15618" max="15618" width="59" style="283" customWidth="1"/>
    <col min="15619" max="15619" width="12.7109375" style="283" customWidth="1"/>
    <col min="15620" max="15620" width="12.140625" style="283" customWidth="1"/>
    <col min="15621" max="15621" width="8" style="283" customWidth="1"/>
    <col min="15622" max="15622" width="11.140625" style="283" bestFit="1" customWidth="1"/>
    <col min="15623" max="15623" width="9.140625" style="283"/>
    <col min="15624" max="15624" width="12.85546875" style="283" customWidth="1"/>
    <col min="15625" max="15625" width="9.28515625" style="283" bestFit="1" customWidth="1"/>
    <col min="15626" max="15626" width="21.140625" style="283" customWidth="1"/>
    <col min="15627" max="15872" width="9.140625" style="283"/>
    <col min="15873" max="15873" width="13.7109375" style="283" customWidth="1"/>
    <col min="15874" max="15874" width="59" style="283" customWidth="1"/>
    <col min="15875" max="15875" width="12.7109375" style="283" customWidth="1"/>
    <col min="15876" max="15876" width="12.140625" style="283" customWidth="1"/>
    <col min="15877" max="15877" width="8" style="283" customWidth="1"/>
    <col min="15878" max="15878" width="11.140625" style="283" bestFit="1" customWidth="1"/>
    <col min="15879" max="15879" width="9.140625" style="283"/>
    <col min="15880" max="15880" width="12.85546875" style="283" customWidth="1"/>
    <col min="15881" max="15881" width="9.28515625" style="283" bestFit="1" customWidth="1"/>
    <col min="15882" max="15882" width="21.140625" style="283" customWidth="1"/>
    <col min="15883" max="16128" width="9.140625" style="283"/>
    <col min="16129" max="16129" width="13.7109375" style="283" customWidth="1"/>
    <col min="16130" max="16130" width="59" style="283" customWidth="1"/>
    <col min="16131" max="16131" width="12.7109375" style="283" customWidth="1"/>
    <col min="16132" max="16132" width="12.140625" style="283" customWidth="1"/>
    <col min="16133" max="16133" width="8" style="283" customWidth="1"/>
    <col min="16134" max="16134" width="11.140625" style="283" bestFit="1" customWidth="1"/>
    <col min="16135" max="16135" width="9.140625" style="283"/>
    <col min="16136" max="16136" width="12.85546875" style="283" customWidth="1"/>
    <col min="16137" max="16137" width="9.28515625" style="283" bestFit="1" customWidth="1"/>
    <col min="16138" max="16138" width="21.140625" style="283" customWidth="1"/>
    <col min="16139" max="16384" width="9.140625" style="283"/>
  </cols>
  <sheetData>
    <row r="1" spans="1:10" ht="23.25" customHeight="1">
      <c r="A1" s="282"/>
      <c r="B1" s="764" t="s">
        <v>29</v>
      </c>
      <c r="C1" s="765"/>
      <c r="D1" s="765"/>
      <c r="E1" s="765"/>
      <c r="F1" s="765"/>
      <c r="G1" s="765"/>
      <c r="H1" s="765"/>
      <c r="I1" s="765"/>
      <c r="J1" s="766"/>
    </row>
    <row r="2" spans="1:10" ht="23.25" customHeight="1">
      <c r="A2" s="767"/>
      <c r="B2" s="768"/>
      <c r="C2" s="768"/>
      <c r="D2" s="768"/>
      <c r="E2" s="768"/>
      <c r="F2" s="768"/>
      <c r="G2" s="768"/>
      <c r="H2" s="768"/>
      <c r="I2" s="768"/>
      <c r="J2" s="769"/>
    </row>
    <row r="3" spans="1:10" ht="14.25" customHeight="1">
      <c r="B3" s="284" t="str">
        <f>ORÇAMENTO!D68</f>
        <v>TRANSPORTE COMERCIAL DE BRITA/AREIA</v>
      </c>
      <c r="C3" s="285"/>
      <c r="D3" s="298"/>
      <c r="E3" s="286"/>
      <c r="F3" s="285"/>
      <c r="G3" s="286"/>
      <c r="H3" s="298"/>
      <c r="I3" s="285"/>
      <c r="J3" s="305"/>
    </row>
    <row r="4" spans="1:10" ht="14.25" customHeight="1">
      <c r="A4" s="770" t="s">
        <v>164</v>
      </c>
      <c r="B4" s="770" t="s">
        <v>165</v>
      </c>
      <c r="C4" s="770" t="s">
        <v>166</v>
      </c>
      <c r="D4" s="772" t="s">
        <v>90</v>
      </c>
      <c r="E4" s="770" t="s">
        <v>167</v>
      </c>
      <c r="F4" s="767" t="s">
        <v>168</v>
      </c>
      <c r="G4" s="769"/>
      <c r="H4" s="776" t="s">
        <v>288</v>
      </c>
      <c r="I4" s="775" t="s">
        <v>170</v>
      </c>
      <c r="J4" s="776" t="s">
        <v>171</v>
      </c>
    </row>
    <row r="5" spans="1:10" ht="18" customHeight="1">
      <c r="A5" s="771"/>
      <c r="B5" s="771"/>
      <c r="C5" s="771"/>
      <c r="D5" s="773"/>
      <c r="E5" s="771"/>
      <c r="F5" s="49" t="s">
        <v>172</v>
      </c>
      <c r="G5" s="49" t="s">
        <v>173</v>
      </c>
      <c r="H5" s="776"/>
      <c r="I5" s="775"/>
      <c r="J5" s="776"/>
    </row>
    <row r="6" spans="1:10" ht="18" customHeight="1">
      <c r="A6" s="255"/>
      <c r="B6" s="255"/>
      <c r="C6" s="255"/>
      <c r="D6" s="296"/>
      <c r="E6" s="255"/>
      <c r="F6" s="49"/>
      <c r="G6" s="49"/>
      <c r="H6" s="296"/>
      <c r="I6" s="255"/>
      <c r="J6" s="296"/>
    </row>
    <row r="7" spans="1:10" ht="33" customHeight="1">
      <c r="A7" s="49">
        <v>83661</v>
      </c>
      <c r="B7" s="15" t="s">
        <v>296</v>
      </c>
      <c r="C7" s="152" t="s">
        <v>176</v>
      </c>
      <c r="D7" s="299">
        <v>4571.4285714285716</v>
      </c>
      <c r="E7" s="49" t="s">
        <v>24</v>
      </c>
      <c r="F7" s="281">
        <v>0.61499999999999999</v>
      </c>
      <c r="G7" s="49" t="s">
        <v>430</v>
      </c>
      <c r="H7" s="297">
        <f>D7*F7</f>
        <v>2811.4285714285716</v>
      </c>
      <c r="I7" s="49">
        <f>I51</f>
        <v>56.5</v>
      </c>
      <c r="J7" s="299">
        <f>TRUNC(H7*I7,2)</f>
        <v>158845.71</v>
      </c>
    </row>
    <row r="8" spans="1:10" ht="14.25" customHeight="1">
      <c r="A8" s="308"/>
      <c r="B8" s="295" t="s">
        <v>120</v>
      </c>
      <c r="C8" s="152"/>
      <c r="D8" s="299"/>
      <c r="E8" s="49"/>
      <c r="F8" s="152"/>
      <c r="G8" s="49"/>
      <c r="H8" s="299"/>
      <c r="I8" s="152"/>
      <c r="J8" s="306">
        <f>SUM(J7:J7)</f>
        <v>158845.71</v>
      </c>
    </row>
    <row r="12" spans="1:10" ht="14.25" customHeight="1">
      <c r="A12" s="282"/>
      <c r="B12" s="764" t="s">
        <v>179</v>
      </c>
      <c r="C12" s="765"/>
      <c r="D12" s="765"/>
      <c r="E12" s="765"/>
      <c r="F12" s="765"/>
      <c r="G12" s="765"/>
      <c r="H12" s="765"/>
      <c r="I12" s="765"/>
      <c r="J12" s="766"/>
    </row>
    <row r="13" spans="1:10" ht="14.25" customHeight="1">
      <c r="A13" s="767"/>
      <c r="B13" s="768"/>
      <c r="C13" s="768"/>
      <c r="D13" s="768"/>
      <c r="E13" s="768"/>
      <c r="F13" s="768"/>
      <c r="G13" s="768"/>
      <c r="H13" s="768"/>
      <c r="I13" s="768"/>
      <c r="J13" s="769"/>
    </row>
    <row r="14" spans="1:10" ht="14.25" customHeight="1">
      <c r="B14" s="287" t="s">
        <v>286</v>
      </c>
      <c r="C14" s="288"/>
      <c r="D14" s="300"/>
      <c r="E14" s="289"/>
      <c r="F14" s="288"/>
      <c r="G14" s="289"/>
      <c r="H14" s="304"/>
      <c r="I14" s="152"/>
      <c r="J14" s="299"/>
    </row>
    <row r="15" spans="1:10" ht="14.25" customHeight="1">
      <c r="A15" s="770" t="s">
        <v>164</v>
      </c>
      <c r="B15" s="770" t="s">
        <v>165</v>
      </c>
      <c r="C15" s="770" t="s">
        <v>166</v>
      </c>
      <c r="D15" s="772" t="s">
        <v>90</v>
      </c>
      <c r="E15" s="770" t="s">
        <v>167</v>
      </c>
      <c r="F15" s="767" t="s">
        <v>168</v>
      </c>
      <c r="G15" s="769"/>
      <c r="H15" s="774" t="s">
        <v>169</v>
      </c>
      <c r="I15" s="775" t="s">
        <v>170</v>
      </c>
      <c r="J15" s="776" t="s">
        <v>175</v>
      </c>
    </row>
    <row r="16" spans="1:10" ht="14.25" customHeight="1">
      <c r="A16" s="771"/>
      <c r="B16" s="771"/>
      <c r="C16" s="771"/>
      <c r="D16" s="773"/>
      <c r="E16" s="771"/>
      <c r="F16" s="49" t="s">
        <v>172</v>
      </c>
      <c r="G16" s="49" t="s">
        <v>173</v>
      </c>
      <c r="H16" s="774"/>
      <c r="I16" s="775"/>
      <c r="J16" s="776"/>
    </row>
    <row r="17" spans="1:10" ht="14.25" customHeight="1">
      <c r="A17" s="49">
        <v>96002</v>
      </c>
      <c r="B17" s="50" t="s">
        <v>18</v>
      </c>
      <c r="C17" s="49" t="s">
        <v>180</v>
      </c>
      <c r="D17" s="297">
        <v>620</v>
      </c>
      <c r="E17" s="49" t="s">
        <v>137</v>
      </c>
      <c r="F17" s="49">
        <v>2.4</v>
      </c>
      <c r="G17" s="49" t="s">
        <v>431</v>
      </c>
      <c r="H17" s="297">
        <f>D17*F17</f>
        <v>1488</v>
      </c>
      <c r="I17" s="49">
        <v>20</v>
      </c>
      <c r="J17" s="299">
        <f t="shared" ref="J17:J18" si="0">TRUNC(H17*I17,2)</f>
        <v>29760</v>
      </c>
    </row>
    <row r="18" spans="1:10" ht="25.5">
      <c r="A18" s="49">
        <v>97636</v>
      </c>
      <c r="B18" s="50" t="s">
        <v>163</v>
      </c>
      <c r="C18" s="49" t="s">
        <v>180</v>
      </c>
      <c r="D18" s="297">
        <v>620</v>
      </c>
      <c r="E18" s="49" t="s">
        <v>137</v>
      </c>
      <c r="F18" s="49">
        <v>2.4</v>
      </c>
      <c r="G18" s="49" t="s">
        <v>431</v>
      </c>
      <c r="H18" s="297">
        <f>D18*F18</f>
        <v>1488</v>
      </c>
      <c r="I18" s="49">
        <v>20</v>
      </c>
      <c r="J18" s="299">
        <f t="shared" si="0"/>
        <v>29760</v>
      </c>
    </row>
    <row r="19" spans="1:10" ht="14.25" customHeight="1">
      <c r="A19" s="49" t="s">
        <v>120</v>
      </c>
      <c r="B19" s="152"/>
      <c r="C19" s="152"/>
      <c r="D19" s="299"/>
      <c r="E19" s="49"/>
      <c r="F19" s="152"/>
      <c r="G19" s="49"/>
      <c r="H19" s="299"/>
      <c r="I19" s="152"/>
      <c r="J19" s="306">
        <f>SUM(J17:J18)</f>
        <v>59520</v>
      </c>
    </row>
    <row r="23" spans="1:10" ht="14.25" customHeight="1">
      <c r="A23" s="282"/>
      <c r="B23" s="764" t="s">
        <v>497</v>
      </c>
      <c r="C23" s="765"/>
      <c r="D23" s="765"/>
      <c r="E23" s="765"/>
      <c r="F23" s="765"/>
      <c r="G23" s="765"/>
      <c r="H23" s="765"/>
      <c r="I23" s="765"/>
      <c r="J23" s="766"/>
    </row>
    <row r="24" spans="1:10" ht="14.25" customHeight="1">
      <c r="A24" s="767"/>
      <c r="B24" s="768"/>
      <c r="C24" s="768"/>
      <c r="D24" s="768"/>
      <c r="E24" s="768"/>
      <c r="F24" s="768"/>
      <c r="G24" s="768"/>
      <c r="H24" s="768"/>
      <c r="I24" s="768"/>
      <c r="J24" s="769"/>
    </row>
    <row r="25" spans="1:10" ht="14.25" customHeight="1">
      <c r="B25" s="290" t="str">
        <f>ORÇAMENTO!D63</f>
        <v>TRANSPORTE COM CAMINHÃO BASCULANTE DE 14 M3, EM VIA URBANA PAVIMENTADA</v>
      </c>
      <c r="C25" s="290"/>
      <c r="D25" s="301"/>
      <c r="E25" s="291"/>
      <c r="F25" s="290"/>
      <c r="G25" s="291"/>
      <c r="H25" s="301"/>
      <c r="I25" s="152"/>
      <c r="J25" s="299"/>
    </row>
    <row r="26" spans="1:10" ht="14.25" customHeight="1">
      <c r="A26" s="775" t="s">
        <v>164</v>
      </c>
      <c r="B26" s="775" t="s">
        <v>165</v>
      </c>
      <c r="C26" s="775" t="s">
        <v>166</v>
      </c>
      <c r="D26" s="776" t="s">
        <v>90</v>
      </c>
      <c r="E26" s="775" t="s">
        <v>167</v>
      </c>
      <c r="F26" s="789" t="s">
        <v>168</v>
      </c>
      <c r="G26" s="789"/>
      <c r="H26" s="774" t="s">
        <v>169</v>
      </c>
      <c r="I26" s="775" t="s">
        <v>170</v>
      </c>
      <c r="J26" s="776" t="s">
        <v>175</v>
      </c>
    </row>
    <row r="27" spans="1:10" ht="14.25" customHeight="1">
      <c r="A27" s="775"/>
      <c r="B27" s="775"/>
      <c r="C27" s="775"/>
      <c r="D27" s="776"/>
      <c r="E27" s="775"/>
      <c r="F27" s="49" t="s">
        <v>172</v>
      </c>
      <c r="G27" s="49" t="s">
        <v>173</v>
      </c>
      <c r="H27" s="774"/>
      <c r="I27" s="775"/>
      <c r="J27" s="776"/>
    </row>
    <row r="28" spans="1:10" ht="40.5" customHeight="1">
      <c r="A28" s="152" t="str">
        <f>ORÇAMENTO!B58</f>
        <v>(M980) (S/C)</v>
      </c>
      <c r="B28" s="15" t="s">
        <v>25</v>
      </c>
      <c r="C28" s="49" t="s">
        <v>174</v>
      </c>
      <c r="D28" s="297">
        <v>3057.7777777777783</v>
      </c>
      <c r="E28" s="49" t="s">
        <v>137</v>
      </c>
      <c r="F28" s="49">
        <v>1.72</v>
      </c>
      <c r="G28" s="49" t="s">
        <v>431</v>
      </c>
      <c r="H28" s="297">
        <f>D28*F28</f>
        <v>5259.3777777777786</v>
      </c>
      <c r="I28" s="49">
        <v>20</v>
      </c>
      <c r="J28" s="299">
        <f>TRUNC(H28*I28,2)</f>
        <v>105187.55</v>
      </c>
    </row>
    <row r="29" spans="1:10" ht="14.25" customHeight="1">
      <c r="A29" s="49" t="s">
        <v>120</v>
      </c>
      <c r="B29" s="152"/>
      <c r="C29" s="152"/>
      <c r="D29" s="299"/>
      <c r="E29" s="49"/>
      <c r="F29" s="152"/>
      <c r="G29" s="49"/>
      <c r="H29" s="299"/>
      <c r="I29" s="152"/>
      <c r="J29" s="306">
        <f>SUM(J28:J28)</f>
        <v>105187.55</v>
      </c>
    </row>
    <row r="31" spans="1:10" ht="14.25" customHeight="1">
      <c r="A31" s="282"/>
      <c r="B31" s="764" t="s">
        <v>496</v>
      </c>
      <c r="C31" s="765"/>
      <c r="D31" s="765"/>
      <c r="E31" s="765"/>
      <c r="F31" s="765"/>
      <c r="G31" s="765"/>
      <c r="H31" s="765"/>
      <c r="I31" s="765"/>
      <c r="J31" s="766"/>
    </row>
    <row r="32" spans="1:10" ht="14.25" customHeight="1">
      <c r="A32" s="767"/>
      <c r="B32" s="768"/>
      <c r="C32" s="768"/>
      <c r="D32" s="768"/>
      <c r="E32" s="768"/>
      <c r="F32" s="768"/>
      <c r="G32" s="768"/>
      <c r="H32" s="768"/>
      <c r="I32" s="768"/>
      <c r="J32" s="769"/>
    </row>
    <row r="33" spans="1:10" ht="14.25" customHeight="1">
      <c r="B33" s="290" t="s">
        <v>178</v>
      </c>
      <c r="C33" s="290"/>
      <c r="D33" s="301"/>
      <c r="E33" s="291"/>
      <c r="F33" s="290"/>
      <c r="G33" s="291"/>
      <c r="H33" s="301"/>
      <c r="I33" s="152"/>
      <c r="J33" s="299"/>
    </row>
    <row r="34" spans="1:10" ht="14.25" customHeight="1">
      <c r="A34" s="770" t="s">
        <v>164</v>
      </c>
      <c r="B34" s="770" t="s">
        <v>165</v>
      </c>
      <c r="C34" s="770" t="s">
        <v>166</v>
      </c>
      <c r="D34" s="772" t="s">
        <v>90</v>
      </c>
      <c r="E34" s="770" t="s">
        <v>167</v>
      </c>
      <c r="F34" s="767" t="s">
        <v>168</v>
      </c>
      <c r="G34" s="769"/>
      <c r="H34" s="774" t="s">
        <v>169</v>
      </c>
      <c r="I34" s="775" t="s">
        <v>170</v>
      </c>
      <c r="J34" s="776" t="s">
        <v>175</v>
      </c>
    </row>
    <row r="35" spans="1:10" ht="14.25" customHeight="1">
      <c r="A35" s="771"/>
      <c r="B35" s="771"/>
      <c r="C35" s="771"/>
      <c r="D35" s="773"/>
      <c r="E35" s="771"/>
      <c r="F35" s="49" t="s">
        <v>172</v>
      </c>
      <c r="G35" s="49" t="s">
        <v>173</v>
      </c>
      <c r="H35" s="774"/>
      <c r="I35" s="775"/>
      <c r="J35" s="776"/>
    </row>
    <row r="36" spans="1:10" ht="38.25">
      <c r="A36" s="152">
        <v>96399</v>
      </c>
      <c r="B36" s="15" t="s">
        <v>499</v>
      </c>
      <c r="C36" s="49" t="s">
        <v>174</v>
      </c>
      <c r="D36" s="297">
        <v>2446.2222222222226</v>
      </c>
      <c r="E36" s="49" t="s">
        <v>137</v>
      </c>
      <c r="F36" s="49">
        <v>1.84</v>
      </c>
      <c r="G36" s="49" t="s">
        <v>431</v>
      </c>
      <c r="H36" s="297">
        <f>D36*F36</f>
        <v>4501.0488888888895</v>
      </c>
      <c r="I36" s="49">
        <f>I51</f>
        <v>56.5</v>
      </c>
      <c r="J36" s="299">
        <f>TRUNC(H36*I36,2)</f>
        <v>254309.26</v>
      </c>
    </row>
    <row r="37" spans="1:10" ht="14.25" customHeight="1">
      <c r="A37" s="49" t="s">
        <v>120</v>
      </c>
      <c r="B37" s="152"/>
      <c r="C37" s="152"/>
      <c r="D37" s="299"/>
      <c r="E37" s="49"/>
      <c r="F37" s="152"/>
      <c r="G37" s="49"/>
      <c r="H37" s="299"/>
      <c r="I37" s="152"/>
      <c r="J37" s="306">
        <f>SUM(J36:J36)</f>
        <v>254309.26</v>
      </c>
    </row>
    <row r="39" spans="1:10" ht="14.25" customHeight="1">
      <c r="A39" s="282"/>
      <c r="B39" s="764" t="s">
        <v>13</v>
      </c>
      <c r="C39" s="765"/>
      <c r="D39" s="765"/>
      <c r="E39" s="765"/>
      <c r="F39" s="765"/>
      <c r="G39" s="765"/>
      <c r="H39" s="765"/>
      <c r="I39" s="765"/>
      <c r="J39" s="766"/>
    </row>
    <row r="40" spans="1:10" ht="14.25" customHeight="1">
      <c r="A40" s="767"/>
      <c r="B40" s="768"/>
      <c r="C40" s="768"/>
      <c r="D40" s="768"/>
      <c r="E40" s="768"/>
      <c r="F40" s="768"/>
      <c r="G40" s="768"/>
      <c r="H40" s="768"/>
      <c r="I40" s="768"/>
      <c r="J40" s="769"/>
    </row>
    <row r="41" spans="1:10" ht="14.25" customHeight="1">
      <c r="A41" s="786" t="s">
        <v>286</v>
      </c>
      <c r="B41" s="787"/>
      <c r="C41" s="787"/>
      <c r="D41" s="787"/>
      <c r="E41" s="787"/>
      <c r="F41" s="787"/>
      <c r="G41" s="787"/>
      <c r="H41" s="788"/>
      <c r="I41" s="152"/>
      <c r="J41" s="299"/>
    </row>
    <row r="42" spans="1:10" ht="14.25" customHeight="1">
      <c r="A42" s="775" t="s">
        <v>164</v>
      </c>
      <c r="B42" s="775" t="s">
        <v>165</v>
      </c>
      <c r="C42" s="775" t="s">
        <v>166</v>
      </c>
      <c r="D42" s="776" t="s">
        <v>90</v>
      </c>
      <c r="E42" s="775" t="s">
        <v>167</v>
      </c>
      <c r="F42" s="789" t="s">
        <v>168</v>
      </c>
      <c r="G42" s="789"/>
      <c r="H42" s="774" t="s">
        <v>169</v>
      </c>
      <c r="I42" s="775" t="s">
        <v>170</v>
      </c>
      <c r="J42" s="776" t="s">
        <v>175</v>
      </c>
    </row>
    <row r="43" spans="1:10" ht="14.25" customHeight="1">
      <c r="A43" s="775"/>
      <c r="B43" s="775"/>
      <c r="C43" s="775"/>
      <c r="D43" s="776"/>
      <c r="E43" s="775"/>
      <c r="F43" s="49" t="s">
        <v>172</v>
      </c>
      <c r="G43" s="49" t="s">
        <v>173</v>
      </c>
      <c r="H43" s="774"/>
      <c r="I43" s="775"/>
      <c r="J43" s="776"/>
    </row>
    <row r="44" spans="1:10" ht="51">
      <c r="A44" s="49">
        <v>95995</v>
      </c>
      <c r="B44" s="50" t="s">
        <v>260</v>
      </c>
      <c r="C44" s="49" t="s">
        <v>180</v>
      </c>
      <c r="D44" s="297">
        <v>5333.3333333333339</v>
      </c>
      <c r="E44" s="49" t="s">
        <v>137</v>
      </c>
      <c r="F44" s="49">
        <v>2.4</v>
      </c>
      <c r="G44" s="49" t="s">
        <v>431</v>
      </c>
      <c r="H44" s="297">
        <f>D44*F44</f>
        <v>12800.000000000002</v>
      </c>
      <c r="I44" s="49">
        <v>20</v>
      </c>
      <c r="J44" s="299">
        <f>TRUNC(H44*I44,2)</f>
        <v>256000</v>
      </c>
    </row>
    <row r="45" spans="1:10" ht="14.25" customHeight="1">
      <c r="A45" s="49" t="s">
        <v>120</v>
      </c>
      <c r="B45" s="152"/>
      <c r="C45" s="152"/>
      <c r="D45" s="299"/>
      <c r="E45" s="49"/>
      <c r="F45" s="152"/>
      <c r="G45" s="49"/>
      <c r="H45" s="299"/>
      <c r="I45" s="152"/>
      <c r="J45" s="306">
        <f>SUM(J44:J44)</f>
        <v>256000</v>
      </c>
    </row>
    <row r="46" spans="1:10" ht="14.25" customHeight="1">
      <c r="A46" s="293"/>
      <c r="B46" s="294"/>
      <c r="C46" s="294"/>
      <c r="D46" s="303"/>
      <c r="E46" s="293"/>
      <c r="F46" s="294"/>
      <c r="G46" s="293"/>
      <c r="H46" s="303"/>
      <c r="I46" s="294"/>
      <c r="J46" s="307"/>
    </row>
    <row r="47" spans="1:10" ht="14.25" customHeight="1">
      <c r="A47" s="782" t="s">
        <v>291</v>
      </c>
      <c r="B47" s="783"/>
      <c r="C47" s="783"/>
      <c r="D47" s="783"/>
      <c r="E47" s="783"/>
      <c r="F47" s="783"/>
      <c r="G47" s="783"/>
      <c r="H47" s="784"/>
      <c r="I47" s="152"/>
      <c r="J47" s="299"/>
    </row>
    <row r="48" spans="1:10" ht="14.25" customHeight="1">
      <c r="A48" s="770" t="s">
        <v>164</v>
      </c>
      <c r="B48" s="770" t="s">
        <v>165</v>
      </c>
      <c r="C48" s="770" t="s">
        <v>166</v>
      </c>
      <c r="D48" s="772" t="s">
        <v>90</v>
      </c>
      <c r="E48" s="770" t="s">
        <v>167</v>
      </c>
      <c r="F48" s="767" t="s">
        <v>168</v>
      </c>
      <c r="G48" s="769"/>
      <c r="H48" s="774" t="s">
        <v>169</v>
      </c>
      <c r="I48" s="775" t="s">
        <v>170</v>
      </c>
      <c r="J48" s="776" t="s">
        <v>171</v>
      </c>
    </row>
    <row r="49" spans="1:10" ht="14.25" customHeight="1">
      <c r="A49" s="771"/>
      <c r="B49" s="771"/>
      <c r="C49" s="771"/>
      <c r="D49" s="773"/>
      <c r="E49" s="771"/>
      <c r="F49" s="49" t="s">
        <v>172</v>
      </c>
      <c r="G49" s="49" t="s">
        <v>173</v>
      </c>
      <c r="H49" s="774"/>
      <c r="I49" s="775"/>
      <c r="J49" s="776"/>
    </row>
    <row r="50" spans="1:10" ht="51">
      <c r="A50" s="49">
        <v>95995</v>
      </c>
      <c r="B50" s="50" t="s">
        <v>260</v>
      </c>
      <c r="C50" s="49" t="s">
        <v>289</v>
      </c>
      <c r="D50" s="297">
        <v>5333.3333333333339</v>
      </c>
      <c r="E50" s="49" t="s">
        <v>137</v>
      </c>
      <c r="F50" s="49">
        <v>0.24149999999999999</v>
      </c>
      <c r="G50" s="49" t="s">
        <v>432</v>
      </c>
      <c r="H50" s="297">
        <f>D50*F50</f>
        <v>1288</v>
      </c>
      <c r="I50" s="49">
        <v>40</v>
      </c>
      <c r="J50" s="299">
        <f t="shared" ref="J50:J51" si="1">TRUNC(H50*I50,2)</f>
        <v>51520</v>
      </c>
    </row>
    <row r="51" spans="1:10" ht="51">
      <c r="A51" s="49">
        <v>95995</v>
      </c>
      <c r="B51" s="50" t="s">
        <v>260</v>
      </c>
      <c r="C51" s="49" t="s">
        <v>290</v>
      </c>
      <c r="D51" s="297">
        <v>5333.3333333333339</v>
      </c>
      <c r="E51" s="49" t="s">
        <v>137</v>
      </c>
      <c r="F51" s="49">
        <v>0.67049999999999998</v>
      </c>
      <c r="G51" s="49" t="s">
        <v>432</v>
      </c>
      <c r="H51" s="297">
        <f>D51*F51</f>
        <v>3576.0000000000005</v>
      </c>
      <c r="I51" s="49">
        <v>56.5</v>
      </c>
      <c r="J51" s="299">
        <f t="shared" si="1"/>
        <v>202044</v>
      </c>
    </row>
    <row r="52" spans="1:10" ht="14.25" customHeight="1">
      <c r="A52" s="49" t="s">
        <v>120</v>
      </c>
      <c r="B52" s="152"/>
      <c r="C52" s="152"/>
      <c r="D52" s="299"/>
      <c r="E52" s="49"/>
      <c r="F52" s="152"/>
      <c r="G52" s="49"/>
      <c r="H52" s="299"/>
      <c r="I52" s="152"/>
      <c r="J52" s="306">
        <f>SUM(J50:J51)</f>
        <v>253564</v>
      </c>
    </row>
    <row r="53" spans="1:10" ht="14.25" customHeight="1">
      <c r="A53" s="293"/>
      <c r="B53" s="294"/>
      <c r="C53" s="294"/>
      <c r="D53" s="303"/>
      <c r="E53" s="293"/>
      <c r="F53" s="294"/>
      <c r="G53" s="293"/>
      <c r="H53" s="303"/>
      <c r="I53" s="294"/>
      <c r="J53" s="307"/>
    </row>
    <row r="54" spans="1:10" ht="14.25" customHeight="1">
      <c r="A54" s="293"/>
      <c r="B54" s="294"/>
      <c r="C54" s="294"/>
      <c r="D54" s="303"/>
      <c r="E54" s="293"/>
      <c r="F54" s="294"/>
      <c r="G54" s="293"/>
      <c r="H54" s="303"/>
      <c r="I54" s="294"/>
      <c r="J54" s="307"/>
    </row>
    <row r="55" spans="1:10" ht="14.25" customHeight="1">
      <c r="A55" s="282"/>
      <c r="B55" s="764" t="s">
        <v>15</v>
      </c>
      <c r="C55" s="765"/>
      <c r="D55" s="765"/>
      <c r="E55" s="765"/>
      <c r="F55" s="765"/>
      <c r="G55" s="765"/>
      <c r="H55" s="765"/>
      <c r="I55" s="765"/>
      <c r="J55" s="766"/>
    </row>
    <row r="56" spans="1:10" ht="14.25" customHeight="1">
      <c r="A56" s="767"/>
      <c r="B56" s="768"/>
      <c r="C56" s="768"/>
      <c r="D56" s="768"/>
      <c r="E56" s="768"/>
      <c r="F56" s="768"/>
      <c r="G56" s="768"/>
      <c r="H56" s="768"/>
      <c r="I56" s="768"/>
      <c r="J56" s="769"/>
    </row>
    <row r="57" spans="1:10" ht="14.25" customHeight="1">
      <c r="A57" s="786" t="s">
        <v>286</v>
      </c>
      <c r="B57" s="787"/>
      <c r="C57" s="787"/>
      <c r="D57" s="787"/>
      <c r="E57" s="787"/>
      <c r="F57" s="787"/>
      <c r="G57" s="787"/>
      <c r="H57" s="788"/>
      <c r="I57" s="152"/>
      <c r="J57" s="299"/>
    </row>
    <row r="58" spans="1:10" ht="14.25" customHeight="1">
      <c r="A58" s="770" t="s">
        <v>164</v>
      </c>
      <c r="B58" s="770" t="s">
        <v>165</v>
      </c>
      <c r="C58" s="770" t="s">
        <v>166</v>
      </c>
      <c r="D58" s="772" t="s">
        <v>90</v>
      </c>
      <c r="E58" s="770" t="s">
        <v>167</v>
      </c>
      <c r="F58" s="767" t="s">
        <v>168</v>
      </c>
      <c r="G58" s="769"/>
      <c r="H58" s="774" t="s">
        <v>169</v>
      </c>
      <c r="I58" s="775" t="s">
        <v>170</v>
      </c>
      <c r="J58" s="776" t="s">
        <v>171</v>
      </c>
    </row>
    <row r="59" spans="1:10" ht="14.25" customHeight="1">
      <c r="A59" s="771"/>
      <c r="B59" s="771"/>
      <c r="C59" s="771"/>
      <c r="D59" s="773"/>
      <c r="E59" s="771"/>
      <c r="F59" s="49" t="s">
        <v>172</v>
      </c>
      <c r="G59" s="49" t="s">
        <v>173</v>
      </c>
      <c r="H59" s="774"/>
      <c r="I59" s="775"/>
      <c r="J59" s="776"/>
    </row>
    <row r="60" spans="1:10" ht="51">
      <c r="A60" s="49" t="s">
        <v>491</v>
      </c>
      <c r="B60" s="50" t="s">
        <v>435</v>
      </c>
      <c r="C60" s="49" t="s">
        <v>180</v>
      </c>
      <c r="D60" s="297">
        <v>800</v>
      </c>
      <c r="E60" s="49" t="s">
        <v>137</v>
      </c>
      <c r="F60" s="49">
        <v>2.4</v>
      </c>
      <c r="G60" s="49" t="s">
        <v>431</v>
      </c>
      <c r="H60" s="297">
        <f>D60*F60</f>
        <v>1920</v>
      </c>
      <c r="I60" s="49">
        <v>20</v>
      </c>
      <c r="J60" s="299">
        <f>TRUNC(H60*I60,2)</f>
        <v>38400</v>
      </c>
    </row>
    <row r="61" spans="1:10" ht="14.25" customHeight="1">
      <c r="A61" s="49" t="s">
        <v>120</v>
      </c>
      <c r="B61" s="152"/>
      <c r="C61" s="152"/>
      <c r="D61" s="299"/>
      <c r="E61" s="49"/>
      <c r="F61" s="152"/>
      <c r="G61" s="49"/>
      <c r="H61" s="299"/>
      <c r="I61" s="152"/>
      <c r="J61" s="306">
        <f>SUM(J60:J60)</f>
        <v>38400</v>
      </c>
    </row>
    <row r="62" spans="1:10" ht="14.25" customHeight="1">
      <c r="A62" s="293"/>
      <c r="B62" s="294"/>
      <c r="C62" s="294"/>
      <c r="D62" s="303"/>
      <c r="E62" s="293"/>
      <c r="F62" s="294"/>
      <c r="G62" s="293"/>
      <c r="H62" s="303"/>
      <c r="I62" s="294"/>
      <c r="J62" s="307"/>
    </row>
    <row r="63" spans="1:10" ht="14.25" customHeight="1">
      <c r="A63" s="785" t="str">
        <f>ORÇAMENTO!D31</f>
        <v>TRANSPORTE COMERCIAL DE BRITA/AREIA</v>
      </c>
      <c r="B63" s="785"/>
      <c r="C63" s="785"/>
      <c r="D63" s="785"/>
      <c r="E63" s="785"/>
      <c r="F63" s="785"/>
      <c r="G63" s="785"/>
      <c r="H63" s="785"/>
      <c r="I63" s="152"/>
      <c r="J63" s="299"/>
    </row>
    <row r="64" spans="1:10" ht="14.25" customHeight="1">
      <c r="A64" s="770" t="s">
        <v>164</v>
      </c>
      <c r="B64" s="770" t="s">
        <v>165</v>
      </c>
      <c r="C64" s="770" t="s">
        <v>166</v>
      </c>
      <c r="D64" s="772" t="s">
        <v>90</v>
      </c>
      <c r="E64" s="770" t="s">
        <v>167</v>
      </c>
      <c r="F64" s="767" t="s">
        <v>168</v>
      </c>
      <c r="G64" s="769"/>
      <c r="H64" s="774" t="s">
        <v>169</v>
      </c>
      <c r="I64" s="775" t="s">
        <v>170</v>
      </c>
      <c r="J64" s="776" t="s">
        <v>171</v>
      </c>
    </row>
    <row r="65" spans="1:10" ht="14.25" customHeight="1">
      <c r="A65" s="771"/>
      <c r="B65" s="771"/>
      <c r="C65" s="771"/>
      <c r="D65" s="773"/>
      <c r="E65" s="771"/>
      <c r="F65" s="49" t="s">
        <v>172</v>
      </c>
      <c r="G65" s="49" t="s">
        <v>173</v>
      </c>
      <c r="H65" s="774"/>
      <c r="I65" s="775"/>
      <c r="J65" s="776"/>
    </row>
    <row r="66" spans="1:10" ht="51">
      <c r="A66" s="49" t="s">
        <v>491</v>
      </c>
      <c r="B66" s="50" t="s">
        <v>435</v>
      </c>
      <c r="C66" s="49" t="s">
        <v>289</v>
      </c>
      <c r="D66" s="297">
        <v>800</v>
      </c>
      <c r="E66" s="49" t="s">
        <v>137</v>
      </c>
      <c r="F66" s="49">
        <v>0.24149999999999999</v>
      </c>
      <c r="G66" s="49" t="s">
        <v>432</v>
      </c>
      <c r="H66" s="297">
        <f>D66*F66</f>
        <v>193.2</v>
      </c>
      <c r="I66" s="49">
        <v>40</v>
      </c>
      <c r="J66" s="299">
        <f t="shared" ref="J66:J67" si="2">TRUNC(H66*I66,2)</f>
        <v>7728</v>
      </c>
    </row>
    <row r="67" spans="1:10" ht="51">
      <c r="A67" s="49" t="s">
        <v>491</v>
      </c>
      <c r="B67" s="50" t="s">
        <v>435</v>
      </c>
      <c r="C67" s="49" t="s">
        <v>290</v>
      </c>
      <c r="D67" s="297">
        <v>800</v>
      </c>
      <c r="E67" s="49" t="s">
        <v>137</v>
      </c>
      <c r="F67" s="49">
        <v>0.67049999999999998</v>
      </c>
      <c r="G67" s="49" t="s">
        <v>432</v>
      </c>
      <c r="H67" s="297">
        <f>D67*F67</f>
        <v>536.4</v>
      </c>
      <c r="I67" s="49">
        <v>56.5</v>
      </c>
      <c r="J67" s="299">
        <f t="shared" si="2"/>
        <v>30306.6</v>
      </c>
    </row>
    <row r="68" spans="1:10" ht="14.25" customHeight="1">
      <c r="A68" s="49" t="s">
        <v>120</v>
      </c>
      <c r="B68" s="152"/>
      <c r="C68" s="152"/>
      <c r="D68" s="299"/>
      <c r="E68" s="49"/>
      <c r="F68" s="152"/>
      <c r="G68" s="49"/>
      <c r="H68" s="299"/>
      <c r="I68" s="152"/>
      <c r="J68" s="306">
        <f>SUM(J66:J67)</f>
        <v>38034.6</v>
      </c>
    </row>
    <row r="69" spans="1:10" ht="14.25" customHeight="1">
      <c r="A69" s="293"/>
      <c r="B69" s="294"/>
      <c r="C69" s="294"/>
      <c r="D69" s="303"/>
      <c r="E69" s="293"/>
      <c r="F69" s="294"/>
      <c r="G69" s="293"/>
      <c r="H69" s="303"/>
      <c r="I69" s="294"/>
      <c r="J69" s="307"/>
    </row>
    <row r="70" spans="1:10" ht="14.25" customHeight="1">
      <c r="A70" s="293"/>
      <c r="B70" s="294"/>
      <c r="C70" s="294"/>
      <c r="D70" s="303"/>
      <c r="E70" s="293"/>
      <c r="F70" s="294"/>
      <c r="G70" s="293"/>
      <c r="H70" s="303"/>
      <c r="I70" s="294"/>
      <c r="J70" s="307"/>
    </row>
    <row r="71" spans="1:10" ht="14.25" customHeight="1">
      <c r="A71" s="282"/>
      <c r="B71" s="427" t="s">
        <v>12</v>
      </c>
      <c r="C71" s="428"/>
      <c r="D71" s="428"/>
      <c r="E71" s="428"/>
      <c r="F71" s="428"/>
      <c r="G71" s="428"/>
      <c r="H71" s="428"/>
      <c r="I71" s="428"/>
      <c r="J71" s="429"/>
    </row>
    <row r="72" spans="1:10" ht="14.25" customHeight="1">
      <c r="A72" s="767"/>
      <c r="B72" s="768"/>
      <c r="C72" s="768"/>
      <c r="D72" s="768"/>
      <c r="E72" s="768"/>
      <c r="F72" s="768"/>
      <c r="G72" s="768"/>
      <c r="H72" s="768"/>
      <c r="I72" s="768"/>
      <c r="J72" s="769"/>
    </row>
    <row r="73" spans="1:10" ht="14.25" customHeight="1">
      <c r="A73" s="786" t="s">
        <v>286</v>
      </c>
      <c r="B73" s="787"/>
      <c r="C73" s="787"/>
      <c r="D73" s="787"/>
      <c r="E73" s="787"/>
      <c r="F73" s="787"/>
      <c r="G73" s="787"/>
      <c r="H73" s="788"/>
      <c r="I73" s="152"/>
      <c r="J73" s="299"/>
    </row>
    <row r="74" spans="1:10" ht="14.25" customHeight="1">
      <c r="A74" s="770" t="s">
        <v>164</v>
      </c>
      <c r="B74" s="770" t="s">
        <v>165</v>
      </c>
      <c r="C74" s="770" t="s">
        <v>166</v>
      </c>
      <c r="D74" s="772" t="s">
        <v>90</v>
      </c>
      <c r="E74" s="770" t="s">
        <v>167</v>
      </c>
      <c r="F74" s="767" t="s">
        <v>168</v>
      </c>
      <c r="G74" s="769"/>
      <c r="H74" s="774" t="s">
        <v>169</v>
      </c>
      <c r="I74" s="775" t="s">
        <v>170</v>
      </c>
      <c r="J74" s="776" t="s">
        <v>171</v>
      </c>
    </row>
    <row r="75" spans="1:10" ht="14.25" customHeight="1">
      <c r="A75" s="771"/>
      <c r="B75" s="771"/>
      <c r="C75" s="771"/>
      <c r="D75" s="773"/>
      <c r="E75" s="771"/>
      <c r="F75" s="49" t="s">
        <v>172</v>
      </c>
      <c r="G75" s="49" t="s">
        <v>173</v>
      </c>
      <c r="H75" s="774"/>
      <c r="I75" s="775"/>
      <c r="J75" s="776"/>
    </row>
    <row r="76" spans="1:10" ht="38.25">
      <c r="A76" s="49" t="s">
        <v>492</v>
      </c>
      <c r="B76" s="50" t="s">
        <v>434</v>
      </c>
      <c r="C76" s="49" t="s">
        <v>180</v>
      </c>
      <c r="D76" s="297">
        <v>533.33333333333337</v>
      </c>
      <c r="E76" s="49" t="s">
        <v>137</v>
      </c>
      <c r="F76" s="49">
        <v>2.4</v>
      </c>
      <c r="G76" s="49" t="s">
        <v>431</v>
      </c>
      <c r="H76" s="297">
        <f>D76*F76</f>
        <v>1280</v>
      </c>
      <c r="I76" s="49">
        <v>20</v>
      </c>
      <c r="J76" s="299">
        <f>TRUNC(H76*I76,2)</f>
        <v>25600</v>
      </c>
    </row>
    <row r="77" spans="1:10" ht="14.25" customHeight="1">
      <c r="A77" s="49" t="s">
        <v>120</v>
      </c>
      <c r="B77" s="152"/>
      <c r="C77" s="152"/>
      <c r="D77" s="299"/>
      <c r="E77" s="49"/>
      <c r="F77" s="152"/>
      <c r="G77" s="49"/>
      <c r="H77" s="299"/>
      <c r="I77" s="152"/>
      <c r="J77" s="306">
        <f>SUM(J76:J76)</f>
        <v>25600</v>
      </c>
    </row>
    <row r="79" spans="1:10" ht="14.25" customHeight="1">
      <c r="A79" s="782" t="s">
        <v>291</v>
      </c>
      <c r="B79" s="783"/>
      <c r="C79" s="783"/>
      <c r="D79" s="783"/>
      <c r="E79" s="783"/>
      <c r="F79" s="783"/>
      <c r="G79" s="783"/>
      <c r="H79" s="784"/>
      <c r="I79" s="152"/>
      <c r="J79" s="299"/>
    </row>
    <row r="80" spans="1:10" ht="14.25" customHeight="1">
      <c r="A80" s="770" t="s">
        <v>164</v>
      </c>
      <c r="B80" s="770" t="s">
        <v>165</v>
      </c>
      <c r="C80" s="770" t="s">
        <v>166</v>
      </c>
      <c r="D80" s="772" t="s">
        <v>90</v>
      </c>
      <c r="E80" s="770" t="s">
        <v>167</v>
      </c>
      <c r="F80" s="767" t="s">
        <v>168</v>
      </c>
      <c r="G80" s="769"/>
      <c r="H80" s="774" t="s">
        <v>169</v>
      </c>
      <c r="I80" s="775" t="s">
        <v>170</v>
      </c>
      <c r="J80" s="776" t="s">
        <v>171</v>
      </c>
    </row>
    <row r="81" spans="1:10" ht="14.25" customHeight="1">
      <c r="A81" s="771"/>
      <c r="B81" s="771"/>
      <c r="C81" s="771"/>
      <c r="D81" s="773"/>
      <c r="E81" s="771"/>
      <c r="F81" s="49" t="s">
        <v>172</v>
      </c>
      <c r="G81" s="49" t="s">
        <v>173</v>
      </c>
      <c r="H81" s="774"/>
      <c r="I81" s="775"/>
      <c r="J81" s="776"/>
    </row>
    <row r="82" spans="1:10" ht="38.25">
      <c r="A82" s="49" t="s">
        <v>492</v>
      </c>
      <c r="B82" s="50" t="s">
        <v>434</v>
      </c>
      <c r="C82" s="49" t="s">
        <v>289</v>
      </c>
      <c r="D82" s="297">
        <v>533.33333333333337</v>
      </c>
      <c r="E82" s="49" t="s">
        <v>137</v>
      </c>
      <c r="F82" s="49">
        <v>0.24149999999999999</v>
      </c>
      <c r="G82" s="49" t="s">
        <v>432</v>
      </c>
      <c r="H82" s="297">
        <f>D82*F82</f>
        <v>128.80000000000001</v>
      </c>
      <c r="I82" s="49">
        <v>40</v>
      </c>
      <c r="J82" s="299">
        <f t="shared" ref="J82:J83" si="3">TRUNC(H82*I82,2)</f>
        <v>5152</v>
      </c>
    </row>
    <row r="83" spans="1:10" ht="38.25">
      <c r="A83" s="49" t="s">
        <v>492</v>
      </c>
      <c r="B83" s="50" t="s">
        <v>434</v>
      </c>
      <c r="C83" s="49" t="s">
        <v>290</v>
      </c>
      <c r="D83" s="297">
        <v>533.33333333333337</v>
      </c>
      <c r="E83" s="49" t="s">
        <v>137</v>
      </c>
      <c r="F83" s="49">
        <v>0.67049999999999998</v>
      </c>
      <c r="G83" s="49" t="s">
        <v>432</v>
      </c>
      <c r="H83" s="297">
        <f>D83*F83</f>
        <v>357.6</v>
      </c>
      <c r="I83" s="49">
        <v>56.5</v>
      </c>
      <c r="J83" s="299">
        <f t="shared" si="3"/>
        <v>20204.400000000001</v>
      </c>
    </row>
    <row r="84" spans="1:10" ht="14.25" customHeight="1">
      <c r="A84" s="49" t="s">
        <v>120</v>
      </c>
      <c r="B84" s="152"/>
      <c r="C84" s="152"/>
      <c r="D84" s="299"/>
      <c r="E84" s="49"/>
      <c r="F84" s="152"/>
      <c r="G84" s="49"/>
      <c r="H84" s="299"/>
      <c r="I84" s="152"/>
      <c r="J84" s="306">
        <f>SUM(J82:J83)</f>
        <v>25356.400000000001</v>
      </c>
    </row>
    <row r="89" spans="1:10" ht="14.25" customHeight="1">
      <c r="A89" s="282"/>
      <c r="B89" s="764" t="s">
        <v>397</v>
      </c>
      <c r="C89" s="765"/>
      <c r="D89" s="765"/>
      <c r="E89" s="765"/>
      <c r="F89" s="765"/>
      <c r="G89" s="765"/>
      <c r="H89" s="765"/>
      <c r="I89" s="765"/>
      <c r="J89" s="766"/>
    </row>
    <row r="90" spans="1:10" ht="14.25" customHeight="1">
      <c r="A90" s="767"/>
      <c r="B90" s="768"/>
      <c r="C90" s="768"/>
      <c r="D90" s="768"/>
      <c r="E90" s="768"/>
      <c r="F90" s="768"/>
      <c r="G90" s="768"/>
      <c r="H90" s="768"/>
      <c r="I90" s="768"/>
      <c r="J90" s="769"/>
    </row>
    <row r="91" spans="1:10" ht="14.25" customHeight="1">
      <c r="A91" s="779" t="s">
        <v>286</v>
      </c>
      <c r="B91" s="780"/>
      <c r="C91" s="780"/>
      <c r="D91" s="780"/>
      <c r="E91" s="780"/>
      <c r="F91" s="780"/>
      <c r="G91" s="780"/>
      <c r="H91" s="781"/>
      <c r="I91" s="152"/>
      <c r="J91" s="299"/>
    </row>
    <row r="92" spans="1:10" ht="14.25" customHeight="1">
      <c r="A92" s="770" t="s">
        <v>164</v>
      </c>
      <c r="B92" s="770" t="s">
        <v>165</v>
      </c>
      <c r="C92" s="770" t="s">
        <v>166</v>
      </c>
      <c r="D92" s="772" t="s">
        <v>90</v>
      </c>
      <c r="E92" s="770" t="s">
        <v>167</v>
      </c>
      <c r="F92" s="767" t="s">
        <v>168</v>
      </c>
      <c r="G92" s="769"/>
      <c r="H92" s="774" t="s">
        <v>169</v>
      </c>
      <c r="I92" s="775" t="s">
        <v>170</v>
      </c>
      <c r="J92" s="776" t="s">
        <v>175</v>
      </c>
    </row>
    <row r="93" spans="1:10" ht="14.25" customHeight="1">
      <c r="A93" s="771"/>
      <c r="B93" s="771"/>
      <c r="C93" s="771"/>
      <c r="D93" s="773"/>
      <c r="E93" s="771"/>
      <c r="F93" s="49" t="s">
        <v>172</v>
      </c>
      <c r="G93" s="49" t="s">
        <v>173</v>
      </c>
      <c r="H93" s="774"/>
      <c r="I93" s="775"/>
      <c r="J93" s="776"/>
    </row>
    <row r="94" spans="1:10" ht="38.25">
      <c r="A94" s="49">
        <v>74010</v>
      </c>
      <c r="B94" s="15" t="s">
        <v>365</v>
      </c>
      <c r="C94" s="152" t="s">
        <v>174</v>
      </c>
      <c r="D94" s="297">
        <v>731.69120639999994</v>
      </c>
      <c r="E94" s="49" t="s">
        <v>137</v>
      </c>
      <c r="F94" s="152">
        <v>1.72</v>
      </c>
      <c r="G94" s="49" t="s">
        <v>431</v>
      </c>
      <c r="H94" s="297">
        <f>D94*F94</f>
        <v>1258.5088750079999</v>
      </c>
      <c r="I94" s="152">
        <v>20</v>
      </c>
      <c r="J94" s="299">
        <f t="shared" ref="J94:J95" si="4">TRUNC(H94*I94,2)</f>
        <v>25170.17</v>
      </c>
    </row>
    <row r="95" spans="1:10" ht="25.5">
      <c r="A95" s="49" t="s">
        <v>493</v>
      </c>
      <c r="B95" s="15" t="s">
        <v>361</v>
      </c>
      <c r="C95" s="152" t="s">
        <v>370</v>
      </c>
      <c r="D95" s="297">
        <v>257.17855999999995</v>
      </c>
      <c r="E95" s="49" t="s">
        <v>137</v>
      </c>
      <c r="F95" s="152">
        <v>2.5</v>
      </c>
      <c r="G95" s="49" t="s">
        <v>431</v>
      </c>
      <c r="H95" s="297">
        <f>D95*F95</f>
        <v>642.94639999999981</v>
      </c>
      <c r="I95" s="152">
        <v>20</v>
      </c>
      <c r="J95" s="299">
        <f t="shared" si="4"/>
        <v>12858.92</v>
      </c>
    </row>
    <row r="96" spans="1:10" ht="14.25" customHeight="1">
      <c r="A96" s="49" t="s">
        <v>120</v>
      </c>
      <c r="B96" s="152"/>
      <c r="C96" s="152"/>
      <c r="D96" s="299"/>
      <c r="E96" s="49"/>
      <c r="F96" s="152"/>
      <c r="G96" s="49"/>
      <c r="H96" s="299"/>
      <c r="I96" s="152"/>
      <c r="J96" s="306">
        <f>SUM(J94:J95)</f>
        <v>38029.089999999997</v>
      </c>
    </row>
    <row r="98" spans="1:10" ht="14.25" customHeight="1">
      <c r="A98" s="779" t="s">
        <v>286</v>
      </c>
      <c r="B98" s="780"/>
      <c r="C98" s="780"/>
      <c r="D98" s="780"/>
      <c r="E98" s="780"/>
      <c r="F98" s="780"/>
      <c r="G98" s="780"/>
      <c r="H98" s="781"/>
      <c r="I98" s="152"/>
      <c r="J98" s="299"/>
    </row>
    <row r="99" spans="1:10" ht="14.25" customHeight="1">
      <c r="A99" s="770" t="s">
        <v>164</v>
      </c>
      <c r="B99" s="770" t="s">
        <v>165</v>
      </c>
      <c r="C99" s="770" t="s">
        <v>166</v>
      </c>
      <c r="D99" s="772" t="s">
        <v>90</v>
      </c>
      <c r="E99" s="770" t="s">
        <v>167</v>
      </c>
      <c r="F99" s="767" t="s">
        <v>168</v>
      </c>
      <c r="G99" s="769"/>
      <c r="H99" s="777" t="s">
        <v>169</v>
      </c>
      <c r="I99" s="770" t="s">
        <v>170</v>
      </c>
      <c r="J99" s="772" t="s">
        <v>175</v>
      </c>
    </row>
    <row r="100" spans="1:10" ht="14.25" customHeight="1">
      <c r="A100" s="771"/>
      <c r="B100" s="771"/>
      <c r="C100" s="771"/>
      <c r="D100" s="773"/>
      <c r="E100" s="771"/>
      <c r="F100" s="49" t="s">
        <v>172</v>
      </c>
      <c r="G100" s="49" t="s">
        <v>173</v>
      </c>
      <c r="H100" s="778"/>
      <c r="I100" s="771"/>
      <c r="J100" s="773"/>
    </row>
    <row r="101" spans="1:10" ht="76.5" customHeight="1">
      <c r="A101" s="49">
        <v>93381</v>
      </c>
      <c r="B101" s="15" t="s">
        <v>364</v>
      </c>
      <c r="C101" s="152" t="s">
        <v>174</v>
      </c>
      <c r="D101" s="297">
        <v>35.568000000000026</v>
      </c>
      <c r="E101" s="49" t="s">
        <v>137</v>
      </c>
      <c r="F101" s="152">
        <v>1.72</v>
      </c>
      <c r="G101" s="49" t="s">
        <v>431</v>
      </c>
      <c r="H101" s="297">
        <f>D101*F101</f>
        <v>61.176960000000044</v>
      </c>
      <c r="I101" s="152">
        <v>20</v>
      </c>
      <c r="J101" s="299">
        <f>TRUNC(H101*I101,2)</f>
        <v>1223.53</v>
      </c>
    </row>
    <row r="102" spans="1:10" ht="33.75" customHeight="1">
      <c r="A102" s="49">
        <v>92214</v>
      </c>
      <c r="B102" s="15" t="s">
        <v>361</v>
      </c>
      <c r="C102" s="152" t="s">
        <v>370</v>
      </c>
      <c r="D102" s="297">
        <v>79.239999999999981</v>
      </c>
      <c r="E102" s="49" t="s">
        <v>137</v>
      </c>
      <c r="F102" s="152">
        <v>2.5</v>
      </c>
      <c r="G102" s="49" t="s">
        <v>431</v>
      </c>
      <c r="H102" s="297">
        <f>D102*F102</f>
        <v>198.09999999999997</v>
      </c>
      <c r="I102" s="152">
        <v>20</v>
      </c>
      <c r="J102" s="299">
        <f>TRUNC(H102*I102,2)</f>
        <v>3962</v>
      </c>
    </row>
    <row r="103" spans="1:10" ht="14.25" customHeight="1">
      <c r="A103" s="49" t="s">
        <v>120</v>
      </c>
      <c r="B103" s="152"/>
      <c r="C103" s="152"/>
      <c r="D103" s="299"/>
      <c r="E103" s="49"/>
      <c r="F103" s="152"/>
      <c r="G103" s="49"/>
      <c r="H103" s="299"/>
      <c r="I103" s="152"/>
      <c r="J103" s="306">
        <f>SUM(J101:J102)</f>
        <v>5185.53</v>
      </c>
    </row>
  </sheetData>
  <mergeCells count="131">
    <mergeCell ref="B1:J1"/>
    <mergeCell ref="A2:J2"/>
    <mergeCell ref="F4:G4"/>
    <mergeCell ref="H4:H5"/>
    <mergeCell ref="I4:I5"/>
    <mergeCell ref="J4:J5"/>
    <mergeCell ref="A4:A5"/>
    <mergeCell ref="B4:B5"/>
    <mergeCell ref="C4:C5"/>
    <mergeCell ref="D4:D5"/>
    <mergeCell ref="E4:E5"/>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39:J39"/>
    <mergeCell ref="A40:J40"/>
    <mergeCell ref="A41:H41"/>
    <mergeCell ref="A42:A43"/>
    <mergeCell ref="B42:B43"/>
    <mergeCell ref="C42:C43"/>
    <mergeCell ref="D42:D43"/>
    <mergeCell ref="E42:E43"/>
    <mergeCell ref="F42:G42"/>
    <mergeCell ref="H42:H43"/>
    <mergeCell ref="I42:I43"/>
    <mergeCell ref="J42:J43"/>
    <mergeCell ref="A47:H47"/>
    <mergeCell ref="A48:A49"/>
    <mergeCell ref="B48:B49"/>
    <mergeCell ref="C48:C49"/>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J48:J49"/>
    <mergeCell ref="J64:J65"/>
    <mergeCell ref="D48:D49"/>
    <mergeCell ref="E48:E49"/>
    <mergeCell ref="F48:G48"/>
    <mergeCell ref="H48:H49"/>
    <mergeCell ref="I48:I49"/>
    <mergeCell ref="F58:G58"/>
    <mergeCell ref="H58:H59"/>
    <mergeCell ref="I58:I59"/>
    <mergeCell ref="J58:J59"/>
    <mergeCell ref="A63:H63"/>
    <mergeCell ref="A64:A65"/>
    <mergeCell ref="B64:B65"/>
    <mergeCell ref="C64:C65"/>
    <mergeCell ref="D64:D65"/>
    <mergeCell ref="E64:E65"/>
    <mergeCell ref="F64:G64"/>
    <mergeCell ref="H64:H65"/>
    <mergeCell ref="I64:I65"/>
    <mergeCell ref="I80:I81"/>
    <mergeCell ref="J80:J81"/>
    <mergeCell ref="A79:H79"/>
    <mergeCell ref="A80:A81"/>
    <mergeCell ref="B80:B81"/>
    <mergeCell ref="C80:C81"/>
    <mergeCell ref="D80:D81"/>
    <mergeCell ref="E80:E81"/>
    <mergeCell ref="F80:G80"/>
    <mergeCell ref="H80:H81"/>
    <mergeCell ref="A98:H98"/>
    <mergeCell ref="B89:J89"/>
    <mergeCell ref="A90:J90"/>
    <mergeCell ref="A91:H91"/>
    <mergeCell ref="A92:A93"/>
    <mergeCell ref="B92:B93"/>
    <mergeCell ref="C92:C93"/>
    <mergeCell ref="D92:D93"/>
    <mergeCell ref="E92:E93"/>
    <mergeCell ref="F92:G92"/>
    <mergeCell ref="H92:H93"/>
    <mergeCell ref="I92:I93"/>
    <mergeCell ref="J92:J93"/>
    <mergeCell ref="A99:A100"/>
    <mergeCell ref="B99:B100"/>
    <mergeCell ref="C99:C100"/>
    <mergeCell ref="D99:D100"/>
    <mergeCell ref="E99:E100"/>
    <mergeCell ref="F99:G99"/>
    <mergeCell ref="H99:H100"/>
    <mergeCell ref="I99:I100"/>
    <mergeCell ref="J99:J100"/>
    <mergeCell ref="B31:J31"/>
    <mergeCell ref="A32:J32"/>
    <mergeCell ref="A34:A35"/>
    <mergeCell ref="B34:B35"/>
    <mergeCell ref="C34:C35"/>
    <mergeCell ref="D34:D35"/>
    <mergeCell ref="E34:E35"/>
    <mergeCell ref="F34:G34"/>
    <mergeCell ref="H34:H35"/>
    <mergeCell ref="I34:I35"/>
    <mergeCell ref="J34:J3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rowBreaks count="1" manualBreakCount="1">
    <brk id="4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1" zoomScale="85" zoomScaleNormal="100" zoomScaleSheetLayoutView="85" workbookViewId="0">
      <selection activeCell="C23" sqref="C23"/>
    </sheetView>
  </sheetViews>
  <sheetFormatPr defaultRowHeight="12.75"/>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7109375" style="1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c r="A1" s="2"/>
      <c r="B1" s="2"/>
      <c r="C1" s="3"/>
      <c r="D1" s="3"/>
      <c r="E1" s="3"/>
      <c r="F1" s="3"/>
      <c r="G1" s="3"/>
      <c r="H1" s="3"/>
      <c r="I1" s="3"/>
      <c r="J1" s="3"/>
      <c r="K1" s="3"/>
      <c r="L1" s="3"/>
      <c r="M1" s="3"/>
      <c r="N1" s="4"/>
    </row>
    <row r="2" spans="1:16">
      <c r="A2" s="796"/>
      <c r="B2" s="797"/>
      <c r="C2" s="797"/>
      <c r="D2" s="797"/>
      <c r="E2" s="3"/>
      <c r="F2" s="3"/>
      <c r="G2" s="3"/>
      <c r="H2" s="3"/>
      <c r="I2" s="3"/>
      <c r="J2" s="3"/>
      <c r="K2" s="3"/>
      <c r="L2" s="3"/>
      <c r="M2" s="3"/>
      <c r="N2" s="4"/>
    </row>
    <row r="3" spans="1:16">
      <c r="A3" s="2"/>
      <c r="B3" s="2"/>
      <c r="C3" s="3"/>
      <c r="D3" s="3"/>
      <c r="E3" s="3"/>
      <c r="F3" s="3"/>
      <c r="G3" s="3"/>
      <c r="H3" s="3"/>
      <c r="I3" s="3"/>
      <c r="J3" s="3"/>
      <c r="K3" s="3"/>
      <c r="L3" s="3"/>
      <c r="M3" s="3"/>
      <c r="N3" s="4"/>
    </row>
    <row r="4" spans="1:16">
      <c r="A4" s="798" t="s">
        <v>30</v>
      </c>
      <c r="B4" s="799"/>
      <c r="C4" s="799"/>
      <c r="D4" s="799"/>
      <c r="E4" s="799"/>
      <c r="F4" s="799"/>
      <c r="G4" s="799"/>
      <c r="H4" s="799"/>
      <c r="I4" s="799"/>
      <c r="J4" s="799"/>
      <c r="K4" s="799"/>
      <c r="L4" s="799"/>
      <c r="M4" s="799"/>
      <c r="N4" s="800"/>
    </row>
    <row r="5" spans="1:16">
      <c r="A5" s="801"/>
      <c r="B5" s="802"/>
      <c r="C5" s="802"/>
      <c r="D5" s="802"/>
      <c r="E5" s="802"/>
      <c r="F5" s="802"/>
      <c r="G5" s="802"/>
      <c r="H5" s="802"/>
      <c r="I5" s="802"/>
      <c r="J5" s="802"/>
      <c r="K5" s="802"/>
      <c r="L5" s="802"/>
      <c r="M5" s="802"/>
      <c r="N5" s="803"/>
    </row>
    <row r="6" spans="1:16" ht="39" customHeight="1">
      <c r="A6" s="804"/>
      <c r="B6" s="805"/>
      <c r="C6" s="808" t="s">
        <v>31</v>
      </c>
      <c r="D6" s="808" t="s">
        <v>32</v>
      </c>
      <c r="E6" s="12" t="s">
        <v>33</v>
      </c>
      <c r="F6" s="12" t="s">
        <v>34</v>
      </c>
      <c r="G6" s="12" t="s">
        <v>35</v>
      </c>
      <c r="H6" s="12" t="s">
        <v>36</v>
      </c>
      <c r="I6" s="12" t="s">
        <v>37</v>
      </c>
      <c r="J6" s="12" t="s">
        <v>37</v>
      </c>
      <c r="K6" s="812" t="s">
        <v>379</v>
      </c>
      <c r="L6" s="813"/>
      <c r="M6" s="814"/>
      <c r="N6" s="13" t="s">
        <v>38</v>
      </c>
    </row>
    <row r="7" spans="1:16" ht="41.25" customHeight="1">
      <c r="A7" s="806"/>
      <c r="B7" s="807"/>
      <c r="C7" s="808"/>
      <c r="D7" s="808"/>
      <c r="E7" s="14" t="s">
        <v>39</v>
      </c>
      <c r="F7" s="14" t="s">
        <v>40</v>
      </c>
      <c r="G7" s="14" t="s">
        <v>41</v>
      </c>
      <c r="H7" s="14" t="s">
        <v>42</v>
      </c>
      <c r="I7" s="14" t="s">
        <v>43</v>
      </c>
      <c r="J7" s="14" t="s">
        <v>355</v>
      </c>
      <c r="K7" s="13" t="s">
        <v>38</v>
      </c>
      <c r="L7" s="14" t="s">
        <v>43</v>
      </c>
      <c r="M7" s="14" t="s">
        <v>355</v>
      </c>
      <c r="N7" s="13"/>
    </row>
    <row r="8" spans="1:16">
      <c r="A8" s="15"/>
      <c r="B8" s="13"/>
      <c r="C8" s="13"/>
      <c r="D8" s="13"/>
      <c r="E8" s="14"/>
      <c r="F8" s="14"/>
      <c r="G8" s="14"/>
      <c r="H8" s="14"/>
      <c r="I8" s="14"/>
      <c r="J8" s="14"/>
      <c r="K8" s="14"/>
      <c r="L8" s="14"/>
      <c r="M8" s="14"/>
      <c r="N8" s="13"/>
    </row>
    <row r="9" spans="1:16" ht="12.75" customHeight="1">
      <c r="A9" s="809"/>
      <c r="B9" s="810" t="s">
        <v>44</v>
      </c>
      <c r="C9" s="16">
        <v>240</v>
      </c>
      <c r="D9" s="16">
        <v>0.6</v>
      </c>
      <c r="E9" s="16">
        <v>1.4</v>
      </c>
      <c r="F9" s="16">
        <v>1.1000000000000001</v>
      </c>
      <c r="G9" s="16">
        <v>1.1000000000000001</v>
      </c>
      <c r="H9" s="16">
        <f>SUM(F9:G9)/2</f>
        <v>1.1000000000000001</v>
      </c>
      <c r="I9" s="16">
        <f>SUM(C9*E9*H9)-(3.14*((0.33/2)^2)*C9)</f>
        <v>349.08324000000005</v>
      </c>
      <c r="J9" s="16">
        <f>C9*N25</f>
        <v>34.967040000000004</v>
      </c>
      <c r="K9" s="16"/>
      <c r="L9" s="16"/>
      <c r="M9" s="16"/>
      <c r="N9" s="17">
        <f>SUM(C9*E9*D9)</f>
        <v>201.6</v>
      </c>
      <c r="P9" s="163"/>
    </row>
    <row r="10" spans="1:16" ht="12.75" customHeight="1">
      <c r="A10" s="809"/>
      <c r="B10" s="811"/>
      <c r="C10" s="16">
        <v>240</v>
      </c>
      <c r="D10" s="16">
        <v>0.8</v>
      </c>
      <c r="E10" s="16">
        <v>1.6</v>
      </c>
      <c r="F10" s="16">
        <v>1.3</v>
      </c>
      <c r="G10" s="16">
        <v>1.3</v>
      </c>
      <c r="H10" s="16">
        <f>SUM(F10:G10)/2</f>
        <v>1.3</v>
      </c>
      <c r="I10" s="16">
        <f>SUM(C10*E10*H10)-(3.14*((0.5/2)^2)*C10)</f>
        <v>452.1</v>
      </c>
      <c r="J10" s="16">
        <f>C10*N26</f>
        <v>67.823999999999984</v>
      </c>
      <c r="K10" s="16"/>
      <c r="L10" s="16"/>
      <c r="M10" s="16"/>
      <c r="N10" s="16">
        <f>SUM(C10*E10)</f>
        <v>384</v>
      </c>
    </row>
    <row r="11" spans="1:16">
      <c r="A11" s="809"/>
      <c r="B11" s="18"/>
      <c r="C11" s="19">
        <v>160</v>
      </c>
      <c r="D11" s="16">
        <v>1</v>
      </c>
      <c r="E11" s="17">
        <v>1.8</v>
      </c>
      <c r="F11" s="19">
        <v>1.5</v>
      </c>
      <c r="G11" s="19">
        <v>1.5</v>
      </c>
      <c r="H11" s="19">
        <v>1.5</v>
      </c>
      <c r="I11" s="16">
        <f>SUM(C11*E11*H11)-(3.14*((0.62/2)^2)*C11)</f>
        <v>383.71935999999999</v>
      </c>
      <c r="J11" s="16">
        <f>C11*N27</f>
        <v>67.522560000000013</v>
      </c>
      <c r="K11" s="16"/>
      <c r="L11" s="16"/>
      <c r="M11" s="16"/>
      <c r="N11" s="16">
        <f>SUM(C11*E11)</f>
        <v>288</v>
      </c>
    </row>
    <row r="12" spans="1:16">
      <c r="A12" s="15"/>
      <c r="B12" s="18"/>
      <c r="C12" s="19">
        <v>160</v>
      </c>
      <c r="D12" s="16">
        <v>1.2</v>
      </c>
      <c r="E12" s="17">
        <v>2</v>
      </c>
      <c r="F12" s="19">
        <v>1.7</v>
      </c>
      <c r="G12" s="19">
        <v>1.7</v>
      </c>
      <c r="H12" s="19">
        <v>1.7</v>
      </c>
      <c r="I12" s="16">
        <f>SUM(C12*E12*H12)-(3.14*((0.73/2)^2)*C12)</f>
        <v>477.06776000000002</v>
      </c>
      <c r="J12" s="16">
        <f>C12*N28</f>
        <v>86.86495999999994</v>
      </c>
      <c r="K12" s="16"/>
      <c r="L12" s="16"/>
      <c r="M12" s="19"/>
      <c r="N12" s="17">
        <f>SUM(C12*E12*D12)</f>
        <v>384</v>
      </c>
    </row>
    <row r="13" spans="1:16">
      <c r="A13" s="15"/>
      <c r="B13" s="18" t="s">
        <v>46</v>
      </c>
      <c r="C13" s="19">
        <v>30</v>
      </c>
      <c r="D13" s="16"/>
      <c r="E13" s="17"/>
      <c r="F13" s="19"/>
      <c r="G13" s="19"/>
      <c r="H13" s="19"/>
      <c r="I13" s="19"/>
      <c r="J13" s="19"/>
      <c r="K13" s="19">
        <f>1.2*2.84*C13</f>
        <v>102.24</v>
      </c>
      <c r="L13" s="19">
        <f>((7.2*1.6*0.19)*C13)-M13</f>
        <v>17.784000000000013</v>
      </c>
      <c r="M13" s="19">
        <f>C13*N30</f>
        <v>47.879999999999988</v>
      </c>
      <c r="N13" s="17"/>
    </row>
    <row r="14" spans="1:16">
      <c r="A14" s="15"/>
      <c r="B14" s="18" t="s">
        <v>375</v>
      </c>
      <c r="C14" s="19">
        <v>6</v>
      </c>
      <c r="D14" s="16"/>
      <c r="E14" s="17"/>
      <c r="F14" s="19"/>
      <c r="G14" s="19"/>
      <c r="H14" s="19"/>
      <c r="I14" s="19"/>
      <c r="J14" s="19"/>
      <c r="K14" s="19">
        <v>0</v>
      </c>
      <c r="L14" s="19">
        <f>((9.2*1.6*0.2)*C14)-M14</f>
        <v>4.2240000000000038</v>
      </c>
      <c r="M14" s="19">
        <f>C14*N31</f>
        <v>13.439999999999998</v>
      </c>
      <c r="N14" s="17"/>
    </row>
    <row r="15" spans="1:16">
      <c r="A15" s="15"/>
      <c r="B15" s="18" t="s">
        <v>376</v>
      </c>
      <c r="C15" s="19">
        <v>4</v>
      </c>
      <c r="D15" s="16"/>
      <c r="E15" s="17"/>
      <c r="F15" s="19"/>
      <c r="G15" s="19"/>
      <c r="H15" s="19"/>
      <c r="I15" s="19"/>
      <c r="J15" s="19"/>
      <c r="K15" s="19">
        <v>0</v>
      </c>
      <c r="L15" s="19">
        <f t="shared" ref="L15:L16" si="0">((9.2*1.6*0.2)*C15)-M15</f>
        <v>2.8160000000000007</v>
      </c>
      <c r="M15" s="19">
        <f t="shared" ref="M15:M16" si="1">C15*N32</f>
        <v>8.9599999999999991</v>
      </c>
      <c r="N15" s="17"/>
    </row>
    <row r="16" spans="1:16">
      <c r="A16" s="15"/>
      <c r="B16" s="18" t="s">
        <v>377</v>
      </c>
      <c r="C16" s="19">
        <v>4</v>
      </c>
      <c r="D16" s="16"/>
      <c r="E16" s="17"/>
      <c r="F16" s="19"/>
      <c r="G16" s="19"/>
      <c r="H16" s="19"/>
      <c r="I16" s="19"/>
      <c r="J16" s="19"/>
      <c r="K16" s="19">
        <v>0</v>
      </c>
      <c r="L16" s="19">
        <f t="shared" si="0"/>
        <v>2.8160000000000007</v>
      </c>
      <c r="M16" s="19">
        <f t="shared" si="1"/>
        <v>8.9599999999999991</v>
      </c>
      <c r="N16" s="17"/>
    </row>
    <row r="17" spans="1:14">
      <c r="A17" s="720"/>
      <c r="B17" s="18" t="s">
        <v>47</v>
      </c>
      <c r="C17" s="19">
        <v>0</v>
      </c>
      <c r="D17" s="20"/>
      <c r="E17" s="17"/>
      <c r="F17" s="19"/>
      <c r="G17" s="19"/>
      <c r="H17" s="19"/>
      <c r="I17" s="5">
        <f>SUM(I8:I12)</f>
        <v>1661.9703600000003</v>
      </c>
      <c r="J17" s="5">
        <f>SUM(J9:J12)</f>
        <v>257.17855999999995</v>
      </c>
      <c r="K17" s="5">
        <f>SUM(K8:K16)</f>
        <v>102.24</v>
      </c>
      <c r="L17" s="5">
        <f>SUM(L13:L16)</f>
        <v>27.640000000000022</v>
      </c>
      <c r="M17" s="5">
        <f>SUM(M13:M16)</f>
        <v>79.239999999999981</v>
      </c>
      <c r="N17" s="17">
        <f>SUM(C17*E17)</f>
        <v>0</v>
      </c>
    </row>
    <row r="18" spans="1:14">
      <c r="A18" s="720"/>
      <c r="B18" s="18" t="s">
        <v>48</v>
      </c>
      <c r="C18" s="19">
        <v>0</v>
      </c>
      <c r="D18" s="16"/>
      <c r="E18" s="19"/>
      <c r="F18" s="19"/>
      <c r="G18" s="19"/>
      <c r="H18" s="19"/>
      <c r="I18" s="19"/>
      <c r="J18" s="19"/>
      <c r="K18" s="19"/>
      <c r="L18" s="19"/>
      <c r="M18" s="19"/>
      <c r="N18" s="21">
        <f>SUM(N8:N12)</f>
        <v>1257.5999999999999</v>
      </c>
    </row>
    <row r="19" spans="1:14">
      <c r="A19" s="792"/>
      <c r="B19" s="18"/>
      <c r="C19" s="22" t="s">
        <v>49</v>
      </c>
      <c r="D19" s="16"/>
      <c r="E19" s="795"/>
      <c r="F19" s="795"/>
      <c r="G19" s="795"/>
      <c r="H19" s="795"/>
      <c r="I19" s="795"/>
      <c r="J19" s="795"/>
      <c r="K19" s="795"/>
      <c r="L19" s="795"/>
      <c r="M19" s="795"/>
      <c r="N19" s="795"/>
    </row>
    <row r="20" spans="1:14">
      <c r="A20" s="793"/>
      <c r="B20" s="18" t="s">
        <v>50</v>
      </c>
      <c r="C20" s="19">
        <v>0</v>
      </c>
      <c r="D20" s="16"/>
      <c r="E20" s="23"/>
      <c r="F20" s="23"/>
      <c r="G20" s="23"/>
      <c r="H20" s="23"/>
      <c r="I20" s="23"/>
      <c r="J20" s="23"/>
      <c r="K20" s="23"/>
      <c r="L20" s="23"/>
      <c r="M20" s="23"/>
      <c r="N20" s="23"/>
    </row>
    <row r="21" spans="1:14">
      <c r="A21" s="793"/>
      <c r="B21" s="18" t="s">
        <v>51</v>
      </c>
      <c r="C21" s="19">
        <v>4</v>
      </c>
      <c r="D21" s="16"/>
      <c r="E21" s="23"/>
      <c r="F21" s="23"/>
      <c r="G21" s="23"/>
      <c r="H21" s="23"/>
      <c r="I21" s="23"/>
      <c r="J21" s="23"/>
      <c r="K21" s="23"/>
      <c r="L21" s="23"/>
      <c r="M21" s="23"/>
      <c r="N21" s="23"/>
    </row>
    <row r="22" spans="1:14">
      <c r="A22" s="793"/>
      <c r="B22" s="24" t="s">
        <v>52</v>
      </c>
      <c r="C22" s="19">
        <v>0</v>
      </c>
      <c r="D22" s="16">
        <f>0.33*0.33*3.1416*C22</f>
        <v>0</v>
      </c>
      <c r="E22" s="6"/>
      <c r="F22" s="6"/>
      <c r="G22" s="6"/>
      <c r="H22" s="6"/>
      <c r="I22" s="6"/>
      <c r="J22" s="6"/>
      <c r="K22" s="6"/>
      <c r="L22" s="6"/>
      <c r="M22" s="6"/>
      <c r="N22" s="162"/>
    </row>
    <row r="23" spans="1:14">
      <c r="A23" s="793"/>
      <c r="B23" s="24" t="s">
        <v>53</v>
      </c>
      <c r="C23" s="25">
        <f>C9</f>
        <v>240</v>
      </c>
      <c r="D23" s="16">
        <f>0.33*0.33*3.1416*C23</f>
        <v>82.108857600000007</v>
      </c>
      <c r="E23" s="6"/>
      <c r="F23" s="6"/>
      <c r="G23" s="6"/>
      <c r="H23" s="6"/>
      <c r="I23" s="6"/>
      <c r="J23" s="6"/>
      <c r="K23" s="6"/>
      <c r="L23" s="6"/>
      <c r="M23" s="6"/>
      <c r="N23" s="162"/>
    </row>
    <row r="24" spans="1:14">
      <c r="A24" s="793"/>
      <c r="B24" s="24" t="s">
        <v>54</v>
      </c>
      <c r="C24" s="25">
        <f>C10</f>
        <v>240</v>
      </c>
      <c r="D24" s="16">
        <f>0.5*0.5*3.1416*C24</f>
        <v>188.49600000000001</v>
      </c>
      <c r="E24" s="6"/>
      <c r="F24" s="6"/>
      <c r="G24" s="6"/>
      <c r="H24" s="6"/>
      <c r="I24" s="6"/>
      <c r="J24" s="166" t="s">
        <v>358</v>
      </c>
      <c r="K24" s="166"/>
      <c r="L24" s="166"/>
      <c r="M24" s="164" t="s">
        <v>356</v>
      </c>
      <c r="N24" s="164" t="s">
        <v>357</v>
      </c>
    </row>
    <row r="25" spans="1:14">
      <c r="A25" s="793"/>
      <c r="B25" s="24" t="s">
        <v>55</v>
      </c>
      <c r="C25" s="19">
        <f>C11</f>
        <v>160</v>
      </c>
      <c r="D25" s="16">
        <f>0.62*0.62*3.1416*C25</f>
        <v>193.22096640000001</v>
      </c>
      <c r="E25" s="6"/>
      <c r="F25" s="6"/>
      <c r="G25" s="6"/>
      <c r="H25" s="6"/>
      <c r="I25" s="6"/>
      <c r="J25" s="165">
        <v>0.6</v>
      </c>
      <c r="K25" s="165"/>
      <c r="L25" s="165"/>
      <c r="M25" s="165">
        <v>0.08</v>
      </c>
      <c r="N25" s="165">
        <f>(3.14*(0.33*0.33*1))-(3.14*((0.33-M25)^2)*1)</f>
        <v>0.14569600000000002</v>
      </c>
    </row>
    <row r="26" spans="1:14">
      <c r="A26" s="793"/>
      <c r="B26" s="24" t="s">
        <v>56</v>
      </c>
      <c r="C26" s="19">
        <f>C12</f>
        <v>160</v>
      </c>
      <c r="D26" s="16">
        <f>0.73*0.73*3.1416*C26</f>
        <v>267.86538239999993</v>
      </c>
      <c r="E26" s="6"/>
      <c r="F26" s="6"/>
      <c r="G26" s="6"/>
      <c r="H26" s="6"/>
      <c r="I26" s="6"/>
      <c r="J26" s="165">
        <v>0.8</v>
      </c>
      <c r="K26" s="165"/>
      <c r="L26" s="165"/>
      <c r="M26" s="165">
        <v>0.1</v>
      </c>
      <c r="N26" s="165">
        <f>(3.14*(0.5*0.5*1))-(3.14*((0.5-M26)^2)*1)</f>
        <v>0.28259999999999996</v>
      </c>
    </row>
    <row r="27" spans="1:14">
      <c r="A27" s="793"/>
      <c r="B27" s="18" t="s">
        <v>45</v>
      </c>
      <c r="C27" s="19">
        <v>0</v>
      </c>
      <c r="D27" s="16">
        <v>0</v>
      </c>
      <c r="E27" s="7"/>
      <c r="F27" s="7"/>
      <c r="G27" s="7"/>
      <c r="H27" s="7"/>
      <c r="I27" s="8"/>
      <c r="J27" s="165">
        <v>1</v>
      </c>
      <c r="K27" s="165"/>
      <c r="L27" s="165"/>
      <c r="M27" s="165">
        <v>0.12</v>
      </c>
      <c r="N27" s="165">
        <f>(3.14*(0.62*0.62*1))-(3.14*((0.62-M27)^2)*1)</f>
        <v>0.42201600000000006</v>
      </c>
    </row>
    <row r="28" spans="1:14">
      <c r="A28" s="793"/>
      <c r="B28" s="24" t="s">
        <v>57</v>
      </c>
      <c r="C28" s="19">
        <f>C13</f>
        <v>30</v>
      </c>
      <c r="D28" s="16">
        <v>0</v>
      </c>
      <c r="E28" s="7"/>
      <c r="F28" s="7"/>
      <c r="G28" s="9"/>
      <c r="H28" s="7"/>
      <c r="I28" s="8"/>
      <c r="J28" s="165">
        <v>1.2</v>
      </c>
      <c r="K28" s="165"/>
      <c r="L28" s="165"/>
      <c r="N28" s="165">
        <f>(3.14*(0.73*0.73*1))-(3.14*((0.73-M29)^2)*1)</f>
        <v>0.54290599999999967</v>
      </c>
    </row>
    <row r="29" spans="1:14">
      <c r="A29" s="793"/>
      <c r="B29" s="26" t="s">
        <v>58</v>
      </c>
      <c r="C29" s="26"/>
      <c r="D29" s="169">
        <f>SUM(D22:D28)</f>
        <v>731.69120639999994</v>
      </c>
      <c r="E29" s="7"/>
      <c r="F29" s="7"/>
      <c r="G29" s="10"/>
      <c r="H29" s="7"/>
      <c r="I29" s="8"/>
      <c r="M29" s="165">
        <v>0.13</v>
      </c>
    </row>
    <row r="30" spans="1:14">
      <c r="A30" s="793"/>
      <c r="B30" s="26" t="s">
        <v>59</v>
      </c>
      <c r="C30" s="26"/>
      <c r="D30" s="170">
        <f>I17+J17-D29</f>
        <v>1187.4577136000003</v>
      </c>
      <c r="E30" s="7"/>
      <c r="F30" s="7"/>
      <c r="G30" s="7"/>
      <c r="H30" s="7"/>
      <c r="I30" s="8"/>
      <c r="J30" s="8" t="s">
        <v>373</v>
      </c>
      <c r="K30" s="8"/>
      <c r="L30" s="8"/>
      <c r="M30" s="8" t="s">
        <v>374</v>
      </c>
      <c r="N30" s="8">
        <f>6*1.4*0.19</f>
        <v>1.5959999999999996</v>
      </c>
    </row>
    <row r="31" spans="1:14">
      <c r="A31" s="794"/>
      <c r="B31" s="27" t="s">
        <v>60</v>
      </c>
      <c r="C31" s="27"/>
      <c r="D31" s="169">
        <f>SUM(N18)</f>
        <v>1257.5999999999999</v>
      </c>
      <c r="E31" s="167"/>
      <c r="F31" s="167"/>
      <c r="G31" s="167"/>
      <c r="H31" s="167"/>
      <c r="I31" s="168"/>
      <c r="J31" s="8" t="s">
        <v>375</v>
      </c>
      <c r="K31" s="8"/>
      <c r="L31" s="8"/>
      <c r="M31" s="8"/>
      <c r="N31" s="8">
        <f>8*1.4*0.2</f>
        <v>2.2399999999999998</v>
      </c>
    </row>
    <row r="32" spans="1:14">
      <c r="J32" s="8" t="s">
        <v>376</v>
      </c>
      <c r="K32" s="8"/>
      <c r="L32" s="8"/>
      <c r="M32" s="8"/>
      <c r="N32" s="8">
        <f t="shared" ref="N32:N33" si="2">8*1.4*0.2</f>
        <v>2.2399999999999998</v>
      </c>
    </row>
    <row r="33" spans="2:14">
      <c r="J33" s="8" t="s">
        <v>377</v>
      </c>
      <c r="K33" s="8"/>
      <c r="L33" s="8"/>
      <c r="M33" s="8"/>
      <c r="N33" s="8">
        <f t="shared" si="2"/>
        <v>2.2399999999999998</v>
      </c>
    </row>
    <row r="34" spans="2:14">
      <c r="B34" s="790" t="s">
        <v>378</v>
      </c>
      <c r="C34" s="791"/>
      <c r="D34" s="169">
        <f>L13</f>
        <v>17.784000000000013</v>
      </c>
      <c r="M34" s="8"/>
      <c r="N34" s="8"/>
    </row>
    <row r="35" spans="2:14">
      <c r="B35" s="26" t="s">
        <v>59</v>
      </c>
      <c r="C35" s="26"/>
      <c r="D35" s="170">
        <f>D34+L13</f>
        <v>35.568000000000026</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BDI_OK</vt:lpstr>
      <vt:lpstr>BDI DIFERENCIADO_OK</vt:lpstr>
      <vt:lpstr>CFF</vt:lpstr>
      <vt:lpstr>Composição Direta</vt:lpstr>
      <vt:lpstr>BLD</vt:lpstr>
      <vt:lpstr>TRANSP</vt:lpstr>
      <vt:lpstr>MEMORIA CALCULO SERV COMPL</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2023-08-15T20:18:16Z</cp:lastPrinted>
  <dcterms:created xsi:type="dcterms:W3CDTF">2018-07-13T17:26:53Z</dcterms:created>
  <dcterms:modified xsi:type="dcterms:W3CDTF">2023-08-15T20:19:21Z</dcterms:modified>
</cp:coreProperties>
</file>